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6.xml" ContentType="application/vnd.openxmlformats-officedocument.drawing+xml"/>
  <Override PartName="/xl/charts/chart34.xml" ContentType="application/vnd.openxmlformats-officedocument.drawingml.chart+xml"/>
  <Override PartName="/xl/charts/style1.xml" ContentType="application/vnd.ms-office.chartstyle+xml"/>
  <Override PartName="/xl/charts/colors1.xml" ContentType="application/vnd.ms-office.chartcolorstyle+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37.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mc:AlternateContent xmlns:mc="http://schemas.openxmlformats.org/markup-compatibility/2006">
    <mc:Choice Requires="x15">
      <x15ac:absPath xmlns:x15ac="http://schemas.microsoft.com/office/spreadsheetml/2010/11/ac" url="U:\Klimaplan\DK2020 bilag\"/>
    </mc:Choice>
  </mc:AlternateContent>
  <bookViews>
    <workbookView xWindow="-120" yWindow="-120" windowWidth="29040" windowHeight="17640" tabRatio="520" activeTab="1"/>
  </bookViews>
  <sheets>
    <sheet name="Udledningssti afrundet" sheetId="51" r:id="rId1"/>
    <sheet name="BAU2050" sheetId="23" r:id="rId2"/>
    <sheet name="BAU2030" sheetId="25" r:id="rId3"/>
    <sheet name="2018" sheetId="27" r:id="rId4"/>
    <sheet name="1990" sheetId="45" r:id="rId5"/>
    <sheet name="Grafer" sheetId="35" state="hidden" r:id="rId6"/>
    <sheet name="Sammenfatning" sheetId="44" r:id="rId7"/>
    <sheet name="SOL og VIND" sheetId="50" r:id="rId8"/>
    <sheet name="Ark1" sheetId="46" state="hidden" r:id="rId9"/>
  </sheets>
  <definedNames>
    <definedName name="_xlnm.Print_Area" localSheetId="3">'2018'!$A$1:$AQ$91</definedName>
    <definedName name="_xlnm.Print_Area" localSheetId="2">'BAU2030'!$A$1:$AQ$91</definedName>
    <definedName name="_xlnm.Print_Area" localSheetId="1">'BAU2050'!$A$1:$AQ$91</definedName>
    <definedName name="_xlnm.Print_Area" localSheetId="5">Grafer!$A:$P</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1" l="1"/>
  <c r="J13" i="51"/>
  <c r="I13" i="51"/>
  <c r="D13" i="51"/>
  <c r="C13" i="51"/>
  <c r="B13" i="51"/>
  <c r="H10" i="51"/>
  <c r="G10" i="51"/>
  <c r="F8" i="51"/>
  <c r="H8" i="51" s="1"/>
  <c r="H13" i="51" s="1"/>
  <c r="E8" i="51"/>
  <c r="E13" i="51" s="1"/>
  <c r="G8" i="51" l="1"/>
  <c r="G13" i="51" s="1"/>
  <c r="B21" i="51" s="1"/>
  <c r="F13" i="51"/>
  <c r="P27" i="44"/>
  <c r="Q8" i="50" l="1"/>
  <c r="Q12" i="50" s="1"/>
  <c r="Q11" i="50"/>
  <c r="Q10" i="50"/>
  <c r="Q9" i="50"/>
  <c r="C17" i="50"/>
  <c r="G6" i="44"/>
  <c r="F6" i="44"/>
  <c r="E6" i="44"/>
  <c r="D6" i="44"/>
  <c r="C6" i="44"/>
  <c r="B6" i="44"/>
  <c r="P30" i="44" l="1"/>
  <c r="P29" i="44"/>
  <c r="P28" i="44"/>
  <c r="O30" i="44"/>
  <c r="O29" i="44"/>
  <c r="O28" i="44"/>
  <c r="O27" i="44"/>
  <c r="N31" i="44"/>
  <c r="N30" i="44"/>
  <c r="N29" i="44"/>
  <c r="N28" i="44"/>
  <c r="N27" i="44"/>
  <c r="N32" i="44" s="1"/>
  <c r="M31" i="44"/>
  <c r="M30" i="44"/>
  <c r="M29" i="44"/>
  <c r="M28" i="44"/>
  <c r="M27" i="44"/>
  <c r="M32" i="44" s="1"/>
  <c r="K31" i="44"/>
  <c r="K30" i="44"/>
  <c r="K29" i="44"/>
  <c r="K28" i="44"/>
  <c r="K27" i="44"/>
  <c r="L27" i="44"/>
  <c r="L32" i="44" s="1"/>
  <c r="L28" i="44"/>
  <c r="L29" i="44"/>
  <c r="L30" i="44"/>
  <c r="L31" i="44"/>
  <c r="K32" i="44" l="1"/>
  <c r="C43" i="50" l="1"/>
  <c r="C42" i="50"/>
  <c r="C38" i="50"/>
  <c r="C37" i="50"/>
  <c r="E12" i="46"/>
  <c r="F30" i="46"/>
  <c r="F45" i="44"/>
  <c r="F43" i="44"/>
  <c r="F37" i="44"/>
  <c r="F36" i="44"/>
  <c r="F35" i="44"/>
  <c r="F34" i="44"/>
  <c r="F33" i="44"/>
  <c r="F32" i="44"/>
  <c r="F31" i="44"/>
  <c r="F30" i="44"/>
  <c r="F29" i="44"/>
  <c r="F28" i="44"/>
  <c r="F27" i="44"/>
  <c r="F7" i="44"/>
  <c r="F5" i="44"/>
  <c r="F4" i="44"/>
  <c r="B45" i="44"/>
  <c r="B44" i="44"/>
  <c r="B43" i="44"/>
  <c r="D45" i="44"/>
  <c r="D44" i="44"/>
  <c r="D43" i="44"/>
  <c r="D46" i="44" s="1"/>
  <c r="D47" i="44" s="1"/>
  <c r="E45" i="44"/>
  <c r="E44" i="44"/>
  <c r="E43" i="44"/>
  <c r="C45" i="44"/>
  <c r="C44" i="44"/>
  <c r="C43" i="44"/>
  <c r="C46" i="44" s="1"/>
  <c r="C47" i="44" s="1"/>
  <c r="C38" i="44"/>
  <c r="C37" i="44"/>
  <c r="C36" i="44"/>
  <c r="C35" i="44"/>
  <c r="C34" i="44"/>
  <c r="C33" i="44"/>
  <c r="C32" i="44"/>
  <c r="C31" i="44"/>
  <c r="C30" i="44"/>
  <c r="C29" i="44"/>
  <c r="C28" i="44"/>
  <c r="C27" i="44"/>
  <c r="C8" i="44"/>
  <c r="C7" i="44"/>
  <c r="C5" i="44"/>
  <c r="C4" i="44"/>
  <c r="J27" i="23"/>
  <c r="J27" i="25"/>
  <c r="G37" i="44"/>
  <c r="G36" i="44"/>
  <c r="G35" i="44"/>
  <c r="G34" i="44"/>
  <c r="G33" i="44"/>
  <c r="G32" i="44"/>
  <c r="G31" i="44"/>
  <c r="G30" i="44"/>
  <c r="G29" i="44"/>
  <c r="G28" i="44"/>
  <c r="G27" i="44"/>
  <c r="E37" i="44"/>
  <c r="E36" i="44"/>
  <c r="E35" i="44"/>
  <c r="E34" i="44"/>
  <c r="E33" i="44"/>
  <c r="E32" i="44"/>
  <c r="E31" i="44"/>
  <c r="E30" i="44"/>
  <c r="E29" i="44"/>
  <c r="E28" i="44"/>
  <c r="E27" i="44"/>
  <c r="D37" i="44"/>
  <c r="D36" i="44"/>
  <c r="D35" i="44"/>
  <c r="D34" i="44"/>
  <c r="D33" i="44"/>
  <c r="D32" i="44"/>
  <c r="D31" i="44"/>
  <c r="D30" i="44"/>
  <c r="D29" i="44"/>
  <c r="D28" i="44"/>
  <c r="D27" i="44"/>
  <c r="B38" i="44"/>
  <c r="B37" i="44"/>
  <c r="B36" i="44"/>
  <c r="B35" i="44"/>
  <c r="B34" i="44"/>
  <c r="B33" i="44"/>
  <c r="B32" i="44"/>
  <c r="B31" i="44"/>
  <c r="B30" i="44"/>
  <c r="B29" i="44"/>
  <c r="B28" i="44"/>
  <c r="B27" i="44"/>
  <c r="G7" i="44"/>
  <c r="G5" i="44"/>
  <c r="G4" i="44"/>
  <c r="C1078" i="35"/>
  <c r="C1077" i="35"/>
  <c r="C1076" i="35"/>
  <c r="C1075" i="35"/>
  <c r="C1074" i="35"/>
  <c r="C1073" i="35"/>
  <c r="C1072" i="35"/>
  <c r="C1071" i="35"/>
  <c r="C1070" i="35"/>
  <c r="C1069" i="35"/>
  <c r="C1068" i="35"/>
  <c r="C1067" i="35"/>
  <c r="C1079" i="35" s="1"/>
  <c r="D1065" i="35"/>
  <c r="D1064" i="35"/>
  <c r="D1063" i="35"/>
  <c r="D1079" i="35" s="1"/>
  <c r="E46" i="44" l="1"/>
  <c r="E47" i="44" s="1"/>
  <c r="B39" i="44"/>
  <c r="C39" i="44"/>
  <c r="B46" i="44"/>
  <c r="B47" i="44" s="1"/>
  <c r="G110" i="35" l="1"/>
  <c r="G109" i="35"/>
  <c r="F114" i="35"/>
  <c r="F112" i="35"/>
  <c r="F110" i="35"/>
  <c r="F109" i="35"/>
  <c r="F122" i="35" s="1"/>
  <c r="F105" i="35"/>
  <c r="F103" i="35"/>
  <c r="E4" i="44"/>
  <c r="F17" i="44"/>
  <c r="G17" i="44"/>
  <c r="G114" i="35" l="1"/>
  <c r="G45" i="44"/>
  <c r="G112" i="35"/>
  <c r="G113" i="35"/>
  <c r="G121" i="35" s="1"/>
  <c r="G105" i="35"/>
  <c r="G103" i="35"/>
  <c r="G108" i="35"/>
  <c r="G104" i="35"/>
  <c r="G122" i="35"/>
  <c r="G44" i="44" l="1"/>
  <c r="G106" i="35"/>
  <c r="G107" i="35"/>
  <c r="G43" i="44" l="1"/>
  <c r="G123" i="35"/>
  <c r="G111" i="35"/>
  <c r="G46" i="44" l="1"/>
  <c r="G47" i="44" s="1"/>
  <c r="G120" i="35"/>
  <c r="G115" i="35"/>
  <c r="P31" i="44" l="1"/>
  <c r="F113" i="35"/>
  <c r="F121" i="35" s="1"/>
  <c r="F44" i="44"/>
  <c r="AI95" i="25"/>
  <c r="AH95" i="25"/>
  <c r="AG95" i="25"/>
  <c r="AI94" i="25"/>
  <c r="AH94" i="25"/>
  <c r="AG94" i="25"/>
  <c r="AQ13" i="23"/>
  <c r="AE10" i="25"/>
  <c r="AE14" i="25"/>
  <c r="P32" i="44" l="1"/>
  <c r="S31" i="44" s="1"/>
  <c r="G38" i="44"/>
  <c r="N3" i="50" s="1"/>
  <c r="P6" i="50" s="1"/>
  <c r="F108" i="35"/>
  <c r="G61" i="35"/>
  <c r="F106" i="35"/>
  <c r="P72" i="25"/>
  <c r="P73" i="25"/>
  <c r="P74" i="25"/>
  <c r="F74" i="25"/>
  <c r="F73" i="25"/>
  <c r="G39" i="44" l="1"/>
  <c r="F7" i="50"/>
  <c r="F17" i="50"/>
  <c r="F4" i="50"/>
  <c r="F5" i="50"/>
  <c r="F6" i="50"/>
  <c r="S32" i="44"/>
  <c r="S28" i="44"/>
  <c r="S29" i="44"/>
  <c r="S30" i="44"/>
  <c r="S27" i="44"/>
  <c r="F43" i="50"/>
  <c r="F42" i="50"/>
  <c r="F107" i="35"/>
  <c r="G62" i="35"/>
  <c r="F111" i="35"/>
  <c r="F120" i="35" s="1"/>
  <c r="F104" i="35"/>
  <c r="D32" i="46"/>
  <c r="D29" i="46"/>
  <c r="D28" i="46"/>
  <c r="AE14" i="23"/>
  <c r="AE48" i="23"/>
  <c r="G102" i="35" l="1"/>
  <c r="G116" i="35"/>
  <c r="G119" i="35" s="1"/>
  <c r="F123" i="35"/>
  <c r="F115" i="35"/>
  <c r="G8" i="44" l="1"/>
  <c r="G117" i="35"/>
  <c r="G124" i="35"/>
  <c r="G118" i="35"/>
  <c r="F46" i="44"/>
  <c r="F47" i="44" s="1"/>
  <c r="I45" i="25"/>
  <c r="AD49" i="23"/>
  <c r="AD48" i="23"/>
  <c r="Q56" i="23"/>
  <c r="I56" i="23"/>
  <c r="E56" i="23"/>
  <c r="V53" i="23"/>
  <c r="S47" i="23"/>
  <c r="Q47" i="23"/>
  <c r="I45" i="23"/>
  <c r="I47" i="23"/>
  <c r="L60" i="23"/>
  <c r="N57" i="23"/>
  <c r="I47" i="25"/>
  <c r="D21" i="46"/>
  <c r="I56" i="25"/>
  <c r="L60" i="25"/>
  <c r="D18" i="46"/>
  <c r="D12" i="46"/>
  <c r="D9" i="46"/>
  <c r="D7" i="46"/>
  <c r="D6" i="46"/>
  <c r="G9" i="44" l="1"/>
  <c r="G10" i="44" s="1"/>
  <c r="G18" i="44"/>
  <c r="G19" i="44" s="1"/>
  <c r="G20" i="44" s="1"/>
  <c r="G126" i="35"/>
  <c r="G125" i="35"/>
  <c r="G127" i="35"/>
  <c r="O31" i="44" l="1"/>
  <c r="F38" i="44"/>
  <c r="F39" i="44"/>
  <c r="F61" i="35"/>
  <c r="O32" i="44" l="1"/>
  <c r="F62" i="35"/>
  <c r="T30" i="44" l="1"/>
  <c r="T27" i="44"/>
  <c r="T32" i="44"/>
  <c r="T28" i="44"/>
  <c r="T29" i="44"/>
  <c r="T31" i="44"/>
  <c r="F8" i="44"/>
  <c r="F102" i="35"/>
  <c r="F116" i="35"/>
  <c r="F119" i="35" s="1"/>
  <c r="I18" i="23"/>
  <c r="I18" i="25"/>
  <c r="H72" i="25"/>
  <c r="F75" i="23"/>
  <c r="F124" i="35" l="1"/>
  <c r="F118" i="35"/>
  <c r="F117" i="35"/>
  <c r="P75" i="25"/>
  <c r="F76" i="25"/>
  <c r="F75" i="25"/>
  <c r="P76" i="25"/>
  <c r="AH13" i="23"/>
  <c r="AE13" i="23" s="1"/>
  <c r="AD13" i="23" s="1"/>
  <c r="AB99" i="23"/>
  <c r="AB100" i="23" s="1"/>
  <c r="P74" i="23"/>
  <c r="F74" i="23"/>
  <c r="AH98" i="25"/>
  <c r="AQ13" i="25" s="1"/>
  <c r="P73" i="23"/>
  <c r="F73" i="23"/>
  <c r="P72" i="23"/>
  <c r="H72" i="23"/>
  <c r="L26" i="23"/>
  <c r="L26" i="25"/>
  <c r="F78" i="23"/>
  <c r="X78" i="23" s="1"/>
  <c r="AQ78" i="23" s="1"/>
  <c r="AH78" i="23" s="1"/>
  <c r="H79" i="23"/>
  <c r="G79" i="23"/>
  <c r="P76" i="23"/>
  <c r="X76" i="23" s="1"/>
  <c r="AQ76" i="23" s="1"/>
  <c r="AH76" i="23" s="1"/>
  <c r="P75" i="23"/>
  <c r="F76" i="23"/>
  <c r="E17" i="23"/>
  <c r="X17" i="23"/>
  <c r="AI17" i="23" s="1"/>
  <c r="AH17" i="23" s="1"/>
  <c r="S19" i="23"/>
  <c r="R20" i="23"/>
  <c r="Q21" i="23"/>
  <c r="X21" i="23" s="1"/>
  <c r="AI21" i="23" s="1"/>
  <c r="AH21" i="23" s="1"/>
  <c r="E36" i="23"/>
  <c r="X36" i="23" s="1"/>
  <c r="AF36" i="23" s="1"/>
  <c r="C33" i="23"/>
  <c r="T33" i="23"/>
  <c r="T81" i="23" s="1"/>
  <c r="T82" i="23" s="1"/>
  <c r="S33" i="23"/>
  <c r="R33" i="23"/>
  <c r="O33" i="23"/>
  <c r="O81" i="23" s="1"/>
  <c r="P36" i="23"/>
  <c r="X47" i="23"/>
  <c r="V81" i="23"/>
  <c r="V82" i="23" s="1"/>
  <c r="X60" i="23"/>
  <c r="AF60" i="23" s="1"/>
  <c r="X19" i="23"/>
  <c r="AI19" i="23" s="1"/>
  <c r="AH19" i="23" s="1"/>
  <c r="O97" i="23"/>
  <c r="O98" i="23"/>
  <c r="W81" i="23"/>
  <c r="W82" i="23" s="1"/>
  <c r="U81" i="23"/>
  <c r="M81" i="23"/>
  <c r="M82" i="23" s="1"/>
  <c r="L81" i="23"/>
  <c r="K81" i="23"/>
  <c r="K82" i="23" s="1"/>
  <c r="C81" i="23"/>
  <c r="C82" i="23" s="1"/>
  <c r="B81" i="23"/>
  <c r="B82" i="23" s="1"/>
  <c r="F80" i="23"/>
  <c r="D80" i="23"/>
  <c r="AD78" i="23"/>
  <c r="X77" i="23"/>
  <c r="AP77" i="23" s="1"/>
  <c r="X75" i="23"/>
  <c r="AQ75" i="23" s="1"/>
  <c r="AH75" i="23" s="1"/>
  <c r="X74" i="23"/>
  <c r="AQ74" i="23" s="1"/>
  <c r="AH74" i="23" s="1"/>
  <c r="AC71" i="23"/>
  <c r="X71" i="23"/>
  <c r="AF70" i="23"/>
  <c r="AN70" i="23" s="1"/>
  <c r="AH70" i="23" s="1"/>
  <c r="X70" i="23"/>
  <c r="AE69" i="23"/>
  <c r="X69" i="23"/>
  <c r="AH68" i="23"/>
  <c r="X68" i="23"/>
  <c r="AD68" i="23" s="1"/>
  <c r="AH67" i="23"/>
  <c r="AF67" i="23"/>
  <c r="AD67" i="23"/>
  <c r="X67" i="23"/>
  <c r="AH66" i="23"/>
  <c r="AF66" i="23"/>
  <c r="X66" i="23"/>
  <c r="AD66" i="23" s="1"/>
  <c r="AH65" i="23"/>
  <c r="AF65" i="23"/>
  <c r="AD65" i="23"/>
  <c r="X65" i="23"/>
  <c r="AH64" i="23"/>
  <c r="AF64" i="23"/>
  <c r="X64" i="23"/>
  <c r="AD64" i="23" s="1"/>
  <c r="AH63" i="23"/>
  <c r="AF63" i="23"/>
  <c r="AD63" i="23"/>
  <c r="X63" i="23"/>
  <c r="AC62" i="23"/>
  <c r="X62" i="23"/>
  <c r="AH61" i="23"/>
  <c r="AF61" i="23"/>
  <c r="X61" i="23"/>
  <c r="AD61" i="23" s="1"/>
  <c r="AH60" i="23"/>
  <c r="X59" i="23"/>
  <c r="AF59" i="23" s="1"/>
  <c r="AF58" i="23"/>
  <c r="AD58" i="23"/>
  <c r="X58" i="23"/>
  <c r="AF57" i="23"/>
  <c r="X57" i="23" s="1"/>
  <c r="AD57" i="23"/>
  <c r="AH56" i="23"/>
  <c r="AC55" i="23"/>
  <c r="X55" i="23"/>
  <c r="AH54" i="23"/>
  <c r="X54" i="23"/>
  <c r="AH53" i="23"/>
  <c r="X53" i="23"/>
  <c r="AC52" i="23"/>
  <c r="X52" i="23"/>
  <c r="AH51" i="23"/>
  <c r="AF51" i="23"/>
  <c r="AD51" i="23"/>
  <c r="X51" i="23"/>
  <c r="AH50" i="23"/>
  <c r="X50" i="23"/>
  <c r="AF50" i="23" s="1"/>
  <c r="AF49" i="23"/>
  <c r="X49" i="23"/>
  <c r="AF48" i="23"/>
  <c r="AH47" i="23"/>
  <c r="S81" i="23"/>
  <c r="S82" i="23" s="1"/>
  <c r="AH46" i="23"/>
  <c r="X46" i="23"/>
  <c r="AD46" i="23" s="1"/>
  <c r="AH45" i="23"/>
  <c r="X45" i="23"/>
  <c r="AD45" i="23" s="1"/>
  <c r="AH44" i="23"/>
  <c r="X44" i="23"/>
  <c r="AC43" i="23"/>
  <c r="X43" i="23"/>
  <c r="AH42" i="23"/>
  <c r="X42" i="23"/>
  <c r="AH41" i="23"/>
  <c r="X41" i="23"/>
  <c r="AH40" i="23"/>
  <c r="X40" i="23"/>
  <c r="AC39" i="23"/>
  <c r="X39" i="23"/>
  <c r="AF38" i="23"/>
  <c r="AD38" i="23"/>
  <c r="X38" i="23"/>
  <c r="AF37" i="23"/>
  <c r="N37" i="23" s="1"/>
  <c r="X37" i="23" s="1"/>
  <c r="AD37" i="23"/>
  <c r="AH36" i="23"/>
  <c r="AH35" i="23"/>
  <c r="X35" i="23"/>
  <c r="AH34" i="23"/>
  <c r="X34" i="23"/>
  <c r="AH33" i="23"/>
  <c r="AH32" i="23"/>
  <c r="X32" i="23"/>
  <c r="AF32" i="23" s="1"/>
  <c r="I31" i="23"/>
  <c r="X31" i="23" s="1"/>
  <c r="AH30" i="23"/>
  <c r="AD30" i="23"/>
  <c r="X30" i="23"/>
  <c r="AH29" i="23"/>
  <c r="X29" i="23"/>
  <c r="AD29" i="23" s="1"/>
  <c r="AH28" i="23"/>
  <c r="X28" i="23"/>
  <c r="AD28" i="23" s="1"/>
  <c r="AH27" i="23"/>
  <c r="AH26" i="23"/>
  <c r="X26" i="23"/>
  <c r="AD26" i="23" s="1"/>
  <c r="X25" i="23"/>
  <c r="AN25" i="23" s="1"/>
  <c r="AH25" i="23" s="1"/>
  <c r="X24" i="23"/>
  <c r="AN24" i="23" s="1"/>
  <c r="AH24" i="23" s="1"/>
  <c r="X23" i="23"/>
  <c r="AN23" i="23" s="1"/>
  <c r="AH23" i="23" s="1"/>
  <c r="AI22" i="23"/>
  <c r="AH22" i="23" s="1"/>
  <c r="X22" i="23"/>
  <c r="R81" i="23"/>
  <c r="X18" i="23"/>
  <c r="AI18" i="23" s="1"/>
  <c r="AH18" i="23" s="1"/>
  <c r="AQ16" i="23"/>
  <c r="AN16" i="23"/>
  <c r="X16" i="23"/>
  <c r="AI16" i="23" s="1"/>
  <c r="AH15" i="23"/>
  <c r="AI14" i="23"/>
  <c r="AD14" i="23"/>
  <c r="X13" i="23"/>
  <c r="AH12" i="23"/>
  <c r="AE12" i="23" s="1"/>
  <c r="AD12" i="23" s="1"/>
  <c r="X12" i="23"/>
  <c r="AH11" i="23"/>
  <c r="AE11" i="23" s="1"/>
  <c r="AD11" i="23" s="1"/>
  <c r="X11" i="23"/>
  <c r="AH10" i="23"/>
  <c r="AE10" i="23" s="1"/>
  <c r="AD10" i="23" s="1"/>
  <c r="X10" i="23"/>
  <c r="AH9" i="23"/>
  <c r="AE9" i="23" s="1"/>
  <c r="AD9" i="23" s="1"/>
  <c r="X9" i="23"/>
  <c r="AH8" i="23"/>
  <c r="X8" i="23"/>
  <c r="P96" i="25"/>
  <c r="W84" i="23"/>
  <c r="V84" i="23"/>
  <c r="U84" i="23"/>
  <c r="T84" i="23"/>
  <c r="S84" i="23"/>
  <c r="N84" i="23"/>
  <c r="M84" i="23"/>
  <c r="L84" i="23"/>
  <c r="K84" i="23"/>
  <c r="J84" i="23"/>
  <c r="X83" i="23"/>
  <c r="U82" i="23"/>
  <c r="S19" i="25"/>
  <c r="E17" i="25"/>
  <c r="P98" i="25"/>
  <c r="P97" i="25"/>
  <c r="P76" i="27"/>
  <c r="F76" i="27"/>
  <c r="P75" i="27"/>
  <c r="F75" i="27"/>
  <c r="P74" i="27"/>
  <c r="F74" i="27"/>
  <c r="P73" i="27"/>
  <c r="F73" i="27"/>
  <c r="P72" i="27"/>
  <c r="H72" i="27"/>
  <c r="T33" i="27"/>
  <c r="O33" i="27"/>
  <c r="I31" i="27"/>
  <c r="F9" i="44" l="1"/>
  <c r="F10" i="44" s="1"/>
  <c r="F18" i="44"/>
  <c r="F19" i="44" s="1"/>
  <c r="F20" i="44" s="1"/>
  <c r="F125" i="35"/>
  <c r="F127" i="35"/>
  <c r="F126" i="35"/>
  <c r="N48" i="23"/>
  <c r="X48" i="23" s="1"/>
  <c r="AF46" i="23"/>
  <c r="X80" i="23"/>
  <c r="AQ80" i="23" s="1"/>
  <c r="AH80" i="23" s="1"/>
  <c r="AF71" i="23"/>
  <c r="H81" i="23"/>
  <c r="H82" i="23" s="1"/>
  <c r="X79" i="23"/>
  <c r="AQ79" i="23" s="1"/>
  <c r="AH79" i="23" s="1"/>
  <c r="X33" i="23"/>
  <c r="AF33" i="23" s="1"/>
  <c r="AF45" i="23"/>
  <c r="X56" i="23"/>
  <c r="AF56" i="23" s="1"/>
  <c r="AF62" i="23" s="1"/>
  <c r="AG62" i="23" s="1"/>
  <c r="AH14" i="23"/>
  <c r="N14" i="23" s="1"/>
  <c r="AF34" i="23"/>
  <c r="AD34" i="23"/>
  <c r="AF42" i="23"/>
  <c r="AD42" i="23"/>
  <c r="AF44" i="23"/>
  <c r="AD44" i="23"/>
  <c r="AF54" i="23"/>
  <c r="AD54" i="23"/>
  <c r="AD69" i="23"/>
  <c r="AN69" i="23"/>
  <c r="AH69" i="23" s="1"/>
  <c r="P81" i="23"/>
  <c r="P82" i="23" s="1"/>
  <c r="X72" i="23"/>
  <c r="AQ72" i="23" s="1"/>
  <c r="AH72" i="23" s="1"/>
  <c r="AP81" i="23"/>
  <c r="AH77" i="23"/>
  <c r="G81" i="23"/>
  <c r="G82" i="23" s="1"/>
  <c r="AF35" i="23"/>
  <c r="AD35" i="23"/>
  <c r="AF41" i="23"/>
  <c r="AD41" i="23"/>
  <c r="F81" i="23"/>
  <c r="F82" i="23" s="1"/>
  <c r="X73" i="23"/>
  <c r="AQ73" i="23" s="1"/>
  <c r="AH73" i="23" s="1"/>
  <c r="AF40" i="23"/>
  <c r="AD40" i="23"/>
  <c r="AF47" i="23"/>
  <c r="AD47" i="23"/>
  <c r="AE8" i="23"/>
  <c r="AH16" i="23"/>
  <c r="J81" i="23"/>
  <c r="X27" i="23"/>
  <c r="AD27" i="23" s="1"/>
  <c r="AD32" i="23"/>
  <c r="AF53" i="23"/>
  <c r="AF55" i="23" s="1"/>
  <c r="AG55" i="23" s="1"/>
  <c r="AD53" i="23"/>
  <c r="AG71" i="23"/>
  <c r="D81" i="23"/>
  <c r="D82" i="23" s="1"/>
  <c r="E81" i="23"/>
  <c r="E82" i="23" s="1"/>
  <c r="I81" i="23"/>
  <c r="I82" i="23" s="1"/>
  <c r="Q81" i="23"/>
  <c r="Q82" i="23" s="1"/>
  <c r="X20" i="23"/>
  <c r="AI20" i="23" s="1"/>
  <c r="AH20" i="23" s="1"/>
  <c r="R84" i="23"/>
  <c r="R82" i="23"/>
  <c r="L82" i="23"/>
  <c r="O82" i="23"/>
  <c r="O84" i="23"/>
  <c r="AQ13" i="27"/>
  <c r="AH13" i="27" s="1"/>
  <c r="AE13" i="27" s="1"/>
  <c r="AD13" i="27" s="1"/>
  <c r="X8" i="27"/>
  <c r="AH8" i="27"/>
  <c r="X9" i="27"/>
  <c r="AH9" i="27"/>
  <c r="AE9" i="27" s="1"/>
  <c r="AD9" i="27" s="1"/>
  <c r="X10" i="27"/>
  <c r="AH10" i="27"/>
  <c r="AE10" i="27" s="1"/>
  <c r="AD10" i="27" s="1"/>
  <c r="X11" i="27"/>
  <c r="AH11" i="27"/>
  <c r="AE11" i="27" s="1"/>
  <c r="AD11" i="27" s="1"/>
  <c r="X12" i="27"/>
  <c r="AH12" i="27"/>
  <c r="AE12" i="27" s="1"/>
  <c r="AD12" i="27" s="1"/>
  <c r="X13" i="27"/>
  <c r="AD14" i="27"/>
  <c r="AI14" i="27"/>
  <c r="AH14" i="27" s="1"/>
  <c r="N14" i="27" s="1"/>
  <c r="AH15" i="27"/>
  <c r="X16" i="27"/>
  <c r="AI16" i="27" s="1"/>
  <c r="X17" i="27"/>
  <c r="AI17" i="27" s="1"/>
  <c r="AH17" i="27" s="1"/>
  <c r="X18" i="27"/>
  <c r="AI18" i="27" s="1"/>
  <c r="AH18" i="27" s="1"/>
  <c r="X19" i="27"/>
  <c r="AI19" i="27" s="1"/>
  <c r="AH19" i="27" s="1"/>
  <c r="X20" i="27"/>
  <c r="AI20" i="27" s="1"/>
  <c r="AH20" i="27" s="1"/>
  <c r="X21" i="27"/>
  <c r="AI21" i="27" s="1"/>
  <c r="AH21" i="27" s="1"/>
  <c r="X22" i="27"/>
  <c r="AI22" i="27" s="1"/>
  <c r="AH22" i="27" s="1"/>
  <c r="X23" i="27"/>
  <c r="AN23" i="27" s="1"/>
  <c r="AH23" i="27" s="1"/>
  <c r="X24" i="27"/>
  <c r="AN24" i="27" s="1"/>
  <c r="AH24" i="27" s="1"/>
  <c r="X25" i="27"/>
  <c r="AN25" i="27" s="1"/>
  <c r="AH25" i="27" s="1"/>
  <c r="X26" i="27"/>
  <c r="AD26" i="27" s="1"/>
  <c r="AH26" i="27"/>
  <c r="X27" i="27"/>
  <c r="AD27" i="27"/>
  <c r="AH27" i="27"/>
  <c r="X28" i="27"/>
  <c r="AD28" i="27" s="1"/>
  <c r="AH28" i="27"/>
  <c r="X29" i="27"/>
  <c r="AD29" i="27" s="1"/>
  <c r="AH29" i="27"/>
  <c r="X30" i="27"/>
  <c r="AD30" i="27" s="1"/>
  <c r="AH30" i="27"/>
  <c r="X31" i="27"/>
  <c r="X32" i="27"/>
  <c r="AD32" i="27" s="1"/>
  <c r="AH32" i="27"/>
  <c r="X33" i="27"/>
  <c r="T81" i="27"/>
  <c r="T82" i="27" s="1"/>
  <c r="AH33" i="27"/>
  <c r="X34" i="27"/>
  <c r="AD34" i="27" s="1"/>
  <c r="AF34" i="27"/>
  <c r="AH34" i="27"/>
  <c r="X35" i="27"/>
  <c r="AD35" i="27" s="1"/>
  <c r="AF35" i="27"/>
  <c r="AH35" i="27"/>
  <c r="X36" i="27"/>
  <c r="AF36" i="27" s="1"/>
  <c r="AH36" i="27"/>
  <c r="AD37" i="27"/>
  <c r="AF37" i="27"/>
  <c r="X38" i="27"/>
  <c r="AD38" i="27"/>
  <c r="AF38" i="27"/>
  <c r="X39" i="27"/>
  <c r="AC39" i="27"/>
  <c r="X40" i="27"/>
  <c r="AD40" i="27" s="1"/>
  <c r="AF40" i="27"/>
  <c r="AH40" i="27"/>
  <c r="X41" i="27"/>
  <c r="AD41" i="27" s="1"/>
  <c r="AH41" i="27"/>
  <c r="X42" i="27"/>
  <c r="AD42" i="27" s="1"/>
  <c r="AH42" i="27"/>
  <c r="X43" i="27"/>
  <c r="AC43" i="27"/>
  <c r="X44" i="27"/>
  <c r="AD44" i="27" s="1"/>
  <c r="AH44" i="27"/>
  <c r="X45" i="27"/>
  <c r="AH45" i="27"/>
  <c r="X46" i="27"/>
  <c r="AD46" i="27" s="1"/>
  <c r="AH46" i="27"/>
  <c r="X47" i="27"/>
  <c r="AH47" i="27"/>
  <c r="AD48" i="27"/>
  <c r="AF48" i="27"/>
  <c r="X49" i="27"/>
  <c r="AD49" i="27"/>
  <c r="AF49" i="27"/>
  <c r="X50" i="27"/>
  <c r="AF50" i="27" s="1"/>
  <c r="AH50" i="27"/>
  <c r="X51" i="27"/>
  <c r="AF51" i="27" s="1"/>
  <c r="AH51" i="27"/>
  <c r="X52" i="27"/>
  <c r="AC52" i="27"/>
  <c r="X53" i="27"/>
  <c r="AD53" i="27" s="1"/>
  <c r="AH53" i="27"/>
  <c r="X54" i="27"/>
  <c r="AD54" i="27" s="1"/>
  <c r="AH54" i="27"/>
  <c r="X55" i="27"/>
  <c r="AC55" i="27"/>
  <c r="X56" i="27"/>
  <c r="AF56" i="27" s="1"/>
  <c r="AH56" i="27"/>
  <c r="AD57" i="27"/>
  <c r="AF57" i="27"/>
  <c r="X58" i="27"/>
  <c r="AF58" i="27" s="1"/>
  <c r="AD58" i="27"/>
  <c r="X59" i="27"/>
  <c r="AF59" i="27" s="1"/>
  <c r="X60" i="27"/>
  <c r="AF60" i="27" s="1"/>
  <c r="AH60" i="27"/>
  <c r="X61" i="27"/>
  <c r="AF61" i="27" s="1"/>
  <c r="AH61" i="27"/>
  <c r="X62" i="27"/>
  <c r="AC62" i="27"/>
  <c r="X63" i="27"/>
  <c r="AF63" i="27" s="1"/>
  <c r="AH63" i="27"/>
  <c r="X64" i="27"/>
  <c r="AF64" i="27" s="1"/>
  <c r="AD64" i="27"/>
  <c r="AH64" i="27"/>
  <c r="X65" i="27"/>
  <c r="AF65" i="27" s="1"/>
  <c r="AH65" i="27"/>
  <c r="X66" i="27"/>
  <c r="AF66" i="27" s="1"/>
  <c r="AH66" i="27"/>
  <c r="X67" i="27"/>
  <c r="AF67" i="27" s="1"/>
  <c r="AH67" i="27"/>
  <c r="X68" i="27"/>
  <c r="AD68" i="27"/>
  <c r="AH68" i="27"/>
  <c r="X69" i="27"/>
  <c r="AE69" i="27"/>
  <c r="AN69" i="27" s="1"/>
  <c r="AH69" i="27" s="1"/>
  <c r="X70" i="27"/>
  <c r="AF70" i="27"/>
  <c r="AN70" i="27" s="1"/>
  <c r="AH70" i="27" s="1"/>
  <c r="X71" i="27"/>
  <c r="AC71" i="27"/>
  <c r="X72" i="27"/>
  <c r="AQ72" i="27" s="1"/>
  <c r="P81" i="27"/>
  <c r="X73" i="27"/>
  <c r="AQ73" i="27" s="1"/>
  <c r="AH73" i="27" s="1"/>
  <c r="X74" i="27"/>
  <c r="AQ74" i="27" s="1"/>
  <c r="AH74" i="27" s="1"/>
  <c r="X75" i="27"/>
  <c r="AQ75" i="27" s="1"/>
  <c r="AH75" i="27" s="1"/>
  <c r="X76" i="27"/>
  <c r="AQ76" i="27" s="1"/>
  <c r="AH76" i="27" s="1"/>
  <c r="X77" i="27"/>
  <c r="AP77" i="27" s="1"/>
  <c r="X78" i="27"/>
  <c r="AQ78" i="27" s="1"/>
  <c r="AH78" i="27" s="1"/>
  <c r="AD78" i="27"/>
  <c r="X79" i="27"/>
  <c r="AQ79" i="27" s="1"/>
  <c r="AH79" i="27" s="1"/>
  <c r="X80" i="27"/>
  <c r="AQ80" i="27" s="1"/>
  <c r="AH80" i="27" s="1"/>
  <c r="B81" i="27"/>
  <c r="C81" i="27"/>
  <c r="C82" i="27" s="1"/>
  <c r="D81" i="27"/>
  <c r="G81" i="27"/>
  <c r="G82" i="27" s="1"/>
  <c r="H81" i="27"/>
  <c r="I81" i="27"/>
  <c r="I82" i="27" s="1"/>
  <c r="J81" i="27"/>
  <c r="K81" i="27"/>
  <c r="K82" i="27" s="1"/>
  <c r="L81" i="27"/>
  <c r="M81" i="27"/>
  <c r="M82" i="27" s="1"/>
  <c r="O81" i="27"/>
  <c r="O82" i="27" s="1"/>
  <c r="Q81" i="27"/>
  <c r="Q82" i="27" s="1"/>
  <c r="R81" i="27"/>
  <c r="R82" i="27" s="1"/>
  <c r="S81" i="27"/>
  <c r="S82" i="27" s="1"/>
  <c r="U81" i="27"/>
  <c r="V81" i="27"/>
  <c r="W81" i="27"/>
  <c r="W82" i="27" s="1"/>
  <c r="B82" i="27"/>
  <c r="D82" i="27"/>
  <c r="H82" i="27"/>
  <c r="J82" i="27"/>
  <c r="L82" i="27"/>
  <c r="U82" i="27"/>
  <c r="V82" i="27"/>
  <c r="X83" i="27"/>
  <c r="J84" i="27"/>
  <c r="K84" i="27"/>
  <c r="L84" i="27"/>
  <c r="M84" i="27"/>
  <c r="N84" i="27"/>
  <c r="R84" i="27"/>
  <c r="S84" i="27"/>
  <c r="T84" i="27"/>
  <c r="U84" i="27"/>
  <c r="V84" i="27"/>
  <c r="W84" i="27"/>
  <c r="B86" i="27"/>
  <c r="C86" i="27"/>
  <c r="D86" i="27"/>
  <c r="E86" i="27"/>
  <c r="F86" i="27"/>
  <c r="G86" i="27"/>
  <c r="H86" i="27"/>
  <c r="I86" i="27"/>
  <c r="J86" i="27"/>
  <c r="K86" i="27"/>
  <c r="L86" i="27"/>
  <c r="M86" i="27"/>
  <c r="N86" i="27"/>
  <c r="O86" i="27"/>
  <c r="P86" i="27"/>
  <c r="Q86" i="27"/>
  <c r="R86" i="27"/>
  <c r="S86" i="27"/>
  <c r="T86" i="27"/>
  <c r="U86" i="27"/>
  <c r="V86" i="27"/>
  <c r="W86" i="27"/>
  <c r="AD95" i="27"/>
  <c r="I96" i="25"/>
  <c r="I97" i="25" s="1"/>
  <c r="W86" i="25"/>
  <c r="V86" i="25"/>
  <c r="U86" i="25"/>
  <c r="T86" i="25"/>
  <c r="S86" i="25"/>
  <c r="R86" i="25"/>
  <c r="Q86" i="25"/>
  <c r="P86" i="25"/>
  <c r="O86" i="25"/>
  <c r="N86" i="25"/>
  <c r="M86" i="25"/>
  <c r="L86" i="25"/>
  <c r="K86" i="25"/>
  <c r="J86" i="25"/>
  <c r="I86" i="25"/>
  <c r="H86" i="25"/>
  <c r="G86" i="25"/>
  <c r="F86" i="25"/>
  <c r="E86" i="25"/>
  <c r="D86" i="25"/>
  <c r="C86" i="25"/>
  <c r="B86" i="25"/>
  <c r="W84" i="25"/>
  <c r="V84" i="25"/>
  <c r="U84" i="25"/>
  <c r="T84" i="25"/>
  <c r="S84" i="25"/>
  <c r="N84" i="25"/>
  <c r="M84" i="25"/>
  <c r="L84" i="25"/>
  <c r="K84" i="25"/>
  <c r="J84" i="25"/>
  <c r="X83" i="25"/>
  <c r="W81" i="25"/>
  <c r="W82" i="25" s="1"/>
  <c r="U81" i="25"/>
  <c r="U82" i="25" s="1"/>
  <c r="M81" i="25"/>
  <c r="M82" i="25" s="1"/>
  <c r="K81" i="25"/>
  <c r="K82" i="25" s="1"/>
  <c r="J81" i="25"/>
  <c r="J82" i="25" s="1"/>
  <c r="B81" i="25"/>
  <c r="B82" i="25" s="1"/>
  <c r="F80" i="25"/>
  <c r="D80" i="25"/>
  <c r="D81" i="25" s="1"/>
  <c r="D82" i="25" s="1"/>
  <c r="H79" i="25"/>
  <c r="H81" i="25" s="1"/>
  <c r="H82" i="25" s="1"/>
  <c r="G79" i="25"/>
  <c r="G81" i="25" s="1"/>
  <c r="G82" i="25" s="1"/>
  <c r="X78" i="25"/>
  <c r="F78" i="25"/>
  <c r="X77" i="25"/>
  <c r="X76" i="25"/>
  <c r="X75" i="25"/>
  <c r="X74" i="25"/>
  <c r="F81" i="25"/>
  <c r="F82" i="25" s="1"/>
  <c r="X72" i="25"/>
  <c r="X71" i="25"/>
  <c r="X70" i="25"/>
  <c r="X69" i="25"/>
  <c r="X68" i="25"/>
  <c r="X67" i="25"/>
  <c r="X66" i="25"/>
  <c r="X65" i="25"/>
  <c r="X64" i="25"/>
  <c r="X63" i="25"/>
  <c r="X62" i="25"/>
  <c r="X61" i="25"/>
  <c r="L81" i="25"/>
  <c r="L82" i="25" s="1"/>
  <c r="X59" i="25"/>
  <c r="X58" i="25"/>
  <c r="X56" i="25"/>
  <c r="Q56" i="25"/>
  <c r="E56" i="25"/>
  <c r="X55" i="25"/>
  <c r="X54" i="25"/>
  <c r="V53" i="25"/>
  <c r="V81" i="25" s="1"/>
  <c r="V82" i="25" s="1"/>
  <c r="X52" i="25"/>
  <c r="X51" i="25"/>
  <c r="X50" i="25"/>
  <c r="X49" i="25"/>
  <c r="S47" i="25"/>
  <c r="Q47" i="25"/>
  <c r="X47" i="25"/>
  <c r="X46" i="25"/>
  <c r="X45" i="25"/>
  <c r="X44" i="25"/>
  <c r="X43" i="25"/>
  <c r="X42" i="25"/>
  <c r="X41" i="25"/>
  <c r="X40" i="25"/>
  <c r="X39" i="25"/>
  <c r="X38" i="25"/>
  <c r="P36" i="25"/>
  <c r="P81" i="25" s="1"/>
  <c r="E36" i="25"/>
  <c r="X35" i="25"/>
  <c r="X34" i="25"/>
  <c r="T33" i="25"/>
  <c r="T81" i="25" s="1"/>
  <c r="T82" i="25" s="1"/>
  <c r="S33" i="25"/>
  <c r="R33" i="25"/>
  <c r="O33" i="25"/>
  <c r="O81" i="25" s="1"/>
  <c r="C33" i="25"/>
  <c r="C81" i="25" s="1"/>
  <c r="C82" i="25" s="1"/>
  <c r="X32" i="25"/>
  <c r="I31" i="25"/>
  <c r="I81" i="25" s="1"/>
  <c r="I82" i="25" s="1"/>
  <c r="X30" i="25"/>
  <c r="X29" i="25"/>
  <c r="X28" i="25"/>
  <c r="X27" i="25"/>
  <c r="X26" i="25"/>
  <c r="X25" i="25"/>
  <c r="X24" i="25"/>
  <c r="X23" i="25"/>
  <c r="X22" i="25"/>
  <c r="X21" i="25"/>
  <c r="Q21" i="25"/>
  <c r="Q81" i="25" s="1"/>
  <c r="R20" i="25"/>
  <c r="R81" i="25" s="1"/>
  <c r="X19" i="25"/>
  <c r="X18" i="25"/>
  <c r="X17" i="25"/>
  <c r="E81" i="25"/>
  <c r="E82" i="25" s="1"/>
  <c r="X16" i="25"/>
  <c r="X13" i="25"/>
  <c r="X12" i="25"/>
  <c r="X11" i="25"/>
  <c r="X10" i="25"/>
  <c r="X9" i="25"/>
  <c r="X8" i="25"/>
  <c r="J82" i="23" l="1"/>
  <c r="S81" i="25"/>
  <c r="S82" i="25" s="1"/>
  <c r="X57" i="27"/>
  <c r="N57" i="27"/>
  <c r="AD33" i="23"/>
  <c r="X36" i="25"/>
  <c r="AF36" i="25" s="1"/>
  <c r="AD61" i="27"/>
  <c r="AQ16" i="27"/>
  <c r="X80" i="25"/>
  <c r="N48" i="27"/>
  <c r="X48" i="27" s="1"/>
  <c r="N37" i="27"/>
  <c r="X37" i="27" s="1"/>
  <c r="Q84" i="27"/>
  <c r="Q84" i="23"/>
  <c r="AD65" i="27"/>
  <c r="P84" i="23"/>
  <c r="AF52" i="23"/>
  <c r="AG52" i="23" s="1"/>
  <c r="AN52" i="23" s="1"/>
  <c r="AO55" i="23"/>
  <c r="AK55" i="23"/>
  <c r="AN55" i="23"/>
  <c r="AJ55" i="23"/>
  <c r="AM55" i="23"/>
  <c r="AI55" i="23"/>
  <c r="AL55" i="23"/>
  <c r="AE81" i="23"/>
  <c r="AD8" i="23"/>
  <c r="AF43" i="23"/>
  <c r="AG43" i="23" s="1"/>
  <c r="AL71" i="23"/>
  <c r="AO71" i="23"/>
  <c r="AK71" i="23"/>
  <c r="AN71" i="23"/>
  <c r="AJ71" i="23"/>
  <c r="AM71" i="23"/>
  <c r="AI71" i="23"/>
  <c r="AQ81" i="23"/>
  <c r="AL62" i="23"/>
  <c r="AO62" i="23"/>
  <c r="AK62" i="23"/>
  <c r="AN62" i="23"/>
  <c r="AJ62" i="23"/>
  <c r="AI62" i="23"/>
  <c r="AM62" i="23"/>
  <c r="AF39" i="23"/>
  <c r="AG39" i="23" s="1"/>
  <c r="X84" i="23"/>
  <c r="N81" i="23"/>
  <c r="X14" i="23"/>
  <c r="AD51" i="27"/>
  <c r="AF46" i="27"/>
  <c r="AF41" i="27"/>
  <c r="AD66" i="27"/>
  <c r="AF42" i="27"/>
  <c r="AD67" i="27"/>
  <c r="AD63" i="27"/>
  <c r="AF44" i="27"/>
  <c r="AF62" i="27"/>
  <c r="AG62" i="27" s="1"/>
  <c r="P82" i="27"/>
  <c r="P84" i="27"/>
  <c r="X84" i="27"/>
  <c r="AF45" i="27"/>
  <c r="AD45" i="27"/>
  <c r="AD33" i="27"/>
  <c r="AF33" i="27"/>
  <c r="AF39" i="27" s="1"/>
  <c r="AG39" i="27" s="1"/>
  <c r="X14" i="27"/>
  <c r="N81" i="27"/>
  <c r="AH77" i="27"/>
  <c r="AP81" i="27"/>
  <c r="AH72" i="27"/>
  <c r="AQ81" i="27"/>
  <c r="AF71" i="27"/>
  <c r="AG71" i="27" s="1"/>
  <c r="AD47" i="27"/>
  <c r="AF47" i="27"/>
  <c r="O84" i="27"/>
  <c r="F81" i="27"/>
  <c r="F82" i="27" s="1"/>
  <c r="AD69" i="27"/>
  <c r="AE8" i="27"/>
  <c r="E81" i="27"/>
  <c r="E82" i="27" s="1"/>
  <c r="AF54" i="27"/>
  <c r="AF53" i="27"/>
  <c r="AF55" i="27" s="1"/>
  <c r="AG55" i="27" s="1"/>
  <c r="AF32" i="27"/>
  <c r="AN16" i="27"/>
  <c r="AH16" i="27" s="1"/>
  <c r="P84" i="25"/>
  <c r="P82" i="25"/>
  <c r="X84" i="25"/>
  <c r="O84" i="25"/>
  <c r="O82" i="25"/>
  <c r="R84" i="25"/>
  <c r="R82" i="25"/>
  <c r="Q84" i="25"/>
  <c r="Q82" i="25"/>
  <c r="X20" i="25"/>
  <c r="AI20" i="25" s="1"/>
  <c r="AH20" i="25" s="1"/>
  <c r="X33" i="25"/>
  <c r="X31" i="25"/>
  <c r="X53" i="25"/>
  <c r="X60" i="25"/>
  <c r="AF60" i="25" s="1"/>
  <c r="X79" i="25"/>
  <c r="AQ79" i="25" s="1"/>
  <c r="AH79" i="25" s="1"/>
  <c r="X73" i="25"/>
  <c r="AQ80" i="25"/>
  <c r="AH80" i="25" s="1"/>
  <c r="AD78" i="25"/>
  <c r="AQ78" i="25"/>
  <c r="AH78" i="25" s="1"/>
  <c r="AP77" i="25"/>
  <c r="AQ76" i="25"/>
  <c r="AH76" i="25" s="1"/>
  <c r="AQ75" i="25"/>
  <c r="AH75" i="25" s="1"/>
  <c r="AQ74" i="25"/>
  <c r="AH74" i="25" s="1"/>
  <c r="AQ72" i="25"/>
  <c r="AH72" i="25" s="1"/>
  <c r="AC71" i="25"/>
  <c r="AF70" i="25"/>
  <c r="AN70" i="25" s="1"/>
  <c r="AH70" i="25" s="1"/>
  <c r="AE69" i="25"/>
  <c r="AN69" i="25" s="1"/>
  <c r="AH69" i="25" s="1"/>
  <c r="AH68" i="25"/>
  <c r="AD68" i="25"/>
  <c r="AH67" i="25"/>
  <c r="AD67" i="25"/>
  <c r="AH66" i="25"/>
  <c r="AD66" i="25"/>
  <c r="AH65" i="25"/>
  <c r="AF65" i="25"/>
  <c r="AD65" i="25"/>
  <c r="AH64" i="25"/>
  <c r="AD64" i="25"/>
  <c r="AH63" i="25"/>
  <c r="AF63" i="25"/>
  <c r="AD63" i="25"/>
  <c r="AC62" i="25"/>
  <c r="AH61" i="25"/>
  <c r="AD61" i="25"/>
  <c r="AH60" i="25"/>
  <c r="AF59" i="25"/>
  <c r="AD58" i="25"/>
  <c r="AF58" i="25"/>
  <c r="AF57" i="25"/>
  <c r="N57" i="25" s="1"/>
  <c r="X57" i="25" s="1"/>
  <c r="AD57" i="25"/>
  <c r="AH56" i="25"/>
  <c r="AF56" i="25"/>
  <c r="AC55" i="25"/>
  <c r="AH54" i="25"/>
  <c r="AD54" i="25"/>
  <c r="AF54" i="25"/>
  <c r="AH53" i="25"/>
  <c r="AF53" i="25"/>
  <c r="AC52" i="25"/>
  <c r="AH51" i="25"/>
  <c r="AD51" i="25"/>
  <c r="AF51" i="25"/>
  <c r="AH50" i="25"/>
  <c r="AF50" i="25"/>
  <c r="AF49" i="25"/>
  <c r="AD49" i="25"/>
  <c r="AF48" i="25"/>
  <c r="N48" i="25" s="1"/>
  <c r="X48" i="25" s="1"/>
  <c r="AD48" i="25"/>
  <c r="AH47" i="25"/>
  <c r="AD47" i="25"/>
  <c r="AH46" i="25"/>
  <c r="AF46" i="25"/>
  <c r="AD46" i="25"/>
  <c r="AH45" i="25"/>
  <c r="AF45" i="25"/>
  <c r="AD45" i="25"/>
  <c r="AH44" i="25"/>
  <c r="AF44" i="25"/>
  <c r="AD44" i="25"/>
  <c r="AC43" i="25"/>
  <c r="AH42" i="25"/>
  <c r="AF42" i="25"/>
  <c r="AH41" i="25"/>
  <c r="AF41" i="25"/>
  <c r="AH40" i="25"/>
  <c r="AF40" i="25"/>
  <c r="AC39" i="25"/>
  <c r="AF38" i="25"/>
  <c r="AD38" i="25"/>
  <c r="AF37" i="25"/>
  <c r="N37" i="25" s="1"/>
  <c r="X37" i="25" s="1"/>
  <c r="AD37" i="25"/>
  <c r="AH36" i="25"/>
  <c r="AH35" i="25"/>
  <c r="AF35" i="25"/>
  <c r="AH34" i="25"/>
  <c r="AD34" i="25"/>
  <c r="AF34" i="25"/>
  <c r="AH33" i="25"/>
  <c r="AH32" i="25"/>
  <c r="AF32" i="25"/>
  <c r="AD32" i="25"/>
  <c r="AH30" i="25"/>
  <c r="AD30" i="25"/>
  <c r="AH29" i="25"/>
  <c r="AD29" i="25"/>
  <c r="AH28" i="25"/>
  <c r="AD28" i="25"/>
  <c r="AH27" i="25"/>
  <c r="AD27" i="25"/>
  <c r="AH26" i="25"/>
  <c r="AD26" i="25"/>
  <c r="AN25" i="25"/>
  <c r="AH25" i="25" s="1"/>
  <c r="AN24" i="25"/>
  <c r="AH24" i="25" s="1"/>
  <c r="AN23" i="25"/>
  <c r="AH23" i="25" s="1"/>
  <c r="AI22" i="25"/>
  <c r="AH22" i="25" s="1"/>
  <c r="AI21" i="25"/>
  <c r="AH21" i="25" s="1"/>
  <c r="AI19" i="25"/>
  <c r="AH19" i="25" s="1"/>
  <c r="AI18" i="25"/>
  <c r="AH18" i="25" s="1"/>
  <c r="AI17" i="25"/>
  <c r="AH17" i="25" s="1"/>
  <c r="AQ16" i="25"/>
  <c r="AN16" i="25"/>
  <c r="AH15" i="25"/>
  <c r="AI14" i="25"/>
  <c r="AH14" i="25" s="1"/>
  <c r="N14" i="25" s="1"/>
  <c r="AD14" i="25"/>
  <c r="AH13" i="25"/>
  <c r="AE13" i="25" s="1"/>
  <c r="AD13" i="25" s="1"/>
  <c r="AH12" i="25"/>
  <c r="AE12" i="25" s="1"/>
  <c r="AD12" i="25"/>
  <c r="AH11" i="25"/>
  <c r="AE11" i="25" s="1"/>
  <c r="AD11" i="25" s="1"/>
  <c r="AH10" i="25"/>
  <c r="AD10" i="25"/>
  <c r="AH9" i="25"/>
  <c r="AE9" i="25" s="1"/>
  <c r="AD9" i="25"/>
  <c r="AH8" i="25"/>
  <c r="AD69" i="25" l="1"/>
  <c r="AF43" i="27"/>
  <c r="AG43" i="27" s="1"/>
  <c r="AM43" i="27" s="1"/>
  <c r="AI52" i="23"/>
  <c r="AK52" i="23"/>
  <c r="AM52" i="23"/>
  <c r="AO52" i="23"/>
  <c r="AJ52" i="23"/>
  <c r="AL52" i="23"/>
  <c r="AF81" i="23"/>
  <c r="AH55" i="23"/>
  <c r="AN43" i="23"/>
  <c r="AJ43" i="23"/>
  <c r="AM43" i="23"/>
  <c r="AI43" i="23"/>
  <c r="AH43" i="23" s="1"/>
  <c r="AL43" i="23"/>
  <c r="AK43" i="23"/>
  <c r="AO43" i="23"/>
  <c r="AH71" i="23"/>
  <c r="AD15" i="23"/>
  <c r="AN39" i="23"/>
  <c r="AN81" i="23" s="1"/>
  <c r="AJ39" i="23"/>
  <c r="AM39" i="23"/>
  <c r="AI39" i="23"/>
  <c r="AG81" i="23"/>
  <c r="AO39" i="23"/>
  <c r="AL39" i="23"/>
  <c r="AK39" i="23"/>
  <c r="AH62" i="23"/>
  <c r="N81" i="25"/>
  <c r="X14" i="25"/>
  <c r="AO43" i="27"/>
  <c r="AK43" i="27"/>
  <c r="AN43" i="27"/>
  <c r="AI43" i="27"/>
  <c r="AJ43" i="27"/>
  <c r="AF52" i="27"/>
  <c r="AG52" i="27" s="1"/>
  <c r="AM52" i="27" s="1"/>
  <c r="AJ71" i="27"/>
  <c r="AN71" i="27"/>
  <c r="AM71" i="27"/>
  <c r="AK71" i="27"/>
  <c r="AO71" i="27"/>
  <c r="AI71" i="27"/>
  <c r="AL71" i="27"/>
  <c r="AL39" i="27"/>
  <c r="AI39" i="27"/>
  <c r="AM39" i="27"/>
  <c r="AO39" i="27"/>
  <c r="AJ39" i="27"/>
  <c r="AN39" i="27"/>
  <c r="AK39" i="27"/>
  <c r="AI55" i="27"/>
  <c r="AM55" i="27"/>
  <c r="AJ55" i="27"/>
  <c r="AN55" i="27"/>
  <c r="AK55" i="27"/>
  <c r="AO55" i="27"/>
  <c r="AL55" i="27"/>
  <c r="AD8" i="27"/>
  <c r="AE81" i="27"/>
  <c r="AJ62" i="27"/>
  <c r="AN62" i="27"/>
  <c r="AI62" i="27"/>
  <c r="AM62" i="27"/>
  <c r="AK62" i="27"/>
  <c r="AO62" i="27"/>
  <c r="AL62" i="27"/>
  <c r="AF43" i="25"/>
  <c r="AG43" i="25" s="1"/>
  <c r="AN43" i="25" s="1"/>
  <c r="AF55" i="25"/>
  <c r="AG55" i="25" s="1"/>
  <c r="AJ55" i="25" s="1"/>
  <c r="AF47" i="25"/>
  <c r="AF52" i="25" s="1"/>
  <c r="AG52" i="25" s="1"/>
  <c r="AF67" i="25"/>
  <c r="AD35" i="25"/>
  <c r="AD53" i="25"/>
  <c r="AF66" i="25"/>
  <c r="AD40" i="25"/>
  <c r="AD41" i="25"/>
  <c r="AD42" i="25"/>
  <c r="AF61" i="25"/>
  <c r="AF62" i="25" s="1"/>
  <c r="AG62" i="25" s="1"/>
  <c r="AF64" i="25"/>
  <c r="AL43" i="25"/>
  <c r="AJ43" i="25"/>
  <c r="AI43" i="25"/>
  <c r="AK43" i="25"/>
  <c r="AO43" i="25"/>
  <c r="AM55" i="25"/>
  <c r="AE8" i="25"/>
  <c r="AI16" i="25"/>
  <c r="AH16" i="25" s="1"/>
  <c r="AP81" i="25"/>
  <c r="AH77" i="25"/>
  <c r="AQ73" i="25"/>
  <c r="AH73" i="25" s="1"/>
  <c r="W86" i="45"/>
  <c r="V86" i="45"/>
  <c r="U86" i="45"/>
  <c r="T86" i="45"/>
  <c r="S86" i="45"/>
  <c r="R86" i="45"/>
  <c r="Q86" i="45"/>
  <c r="P86" i="45"/>
  <c r="O86" i="45"/>
  <c r="N86" i="45"/>
  <c r="M86" i="45"/>
  <c r="L86" i="45"/>
  <c r="K86" i="45"/>
  <c r="J86" i="45"/>
  <c r="I86" i="45"/>
  <c r="H86" i="45"/>
  <c r="G86" i="45"/>
  <c r="F86" i="45"/>
  <c r="E86" i="45"/>
  <c r="D86" i="45"/>
  <c r="C86" i="45"/>
  <c r="B86" i="45"/>
  <c r="W84" i="45"/>
  <c r="V84" i="45"/>
  <c r="U84" i="45"/>
  <c r="T84" i="45"/>
  <c r="S84" i="45"/>
  <c r="N84" i="45"/>
  <c r="M84" i="45"/>
  <c r="L84" i="45"/>
  <c r="K84" i="45"/>
  <c r="J84" i="45"/>
  <c r="X83" i="45"/>
  <c r="R82" i="45"/>
  <c r="I82" i="45"/>
  <c r="W81" i="45"/>
  <c r="W82" i="45" s="1"/>
  <c r="U81" i="45"/>
  <c r="U82" i="45" s="1"/>
  <c r="S81" i="45"/>
  <c r="S82" i="45" s="1"/>
  <c r="R81" i="45"/>
  <c r="R84" i="45" s="1"/>
  <c r="Q81" i="45"/>
  <c r="Q82" i="45" s="1"/>
  <c r="P81" i="45"/>
  <c r="P84" i="45" s="1"/>
  <c r="O81" i="45"/>
  <c r="O84" i="45" s="1"/>
  <c r="M81" i="45"/>
  <c r="M82" i="45" s="1"/>
  <c r="L81" i="45"/>
  <c r="L82" i="45" s="1"/>
  <c r="K81" i="45"/>
  <c r="K82" i="45" s="1"/>
  <c r="J81" i="45"/>
  <c r="J82" i="45" s="1"/>
  <c r="I81" i="45"/>
  <c r="H81" i="45"/>
  <c r="H82" i="45" s="1"/>
  <c r="G81" i="45"/>
  <c r="G82" i="45" s="1"/>
  <c r="F81" i="45"/>
  <c r="F82" i="45" s="1"/>
  <c r="E81" i="45"/>
  <c r="E82" i="45" s="1"/>
  <c r="D81" i="45"/>
  <c r="D82" i="45" s="1"/>
  <c r="C81" i="45"/>
  <c r="C82" i="45" s="1"/>
  <c r="B81" i="45"/>
  <c r="B82" i="45" s="1"/>
  <c r="X80" i="45"/>
  <c r="AQ80" i="45" s="1"/>
  <c r="AH80" i="45" s="1"/>
  <c r="X79" i="45"/>
  <c r="AQ79" i="45" s="1"/>
  <c r="AH79" i="45" s="1"/>
  <c r="AD78" i="45"/>
  <c r="X78" i="45"/>
  <c r="AQ78" i="45" s="1"/>
  <c r="AH78" i="45" s="1"/>
  <c r="X77" i="45"/>
  <c r="AP77" i="45" s="1"/>
  <c r="AH77" i="45" s="1"/>
  <c r="AQ76" i="45"/>
  <c r="AH76" i="45" s="1"/>
  <c r="X76" i="45"/>
  <c r="X75" i="45"/>
  <c r="AQ75" i="45" s="1"/>
  <c r="AH75" i="45" s="1"/>
  <c r="AQ74" i="45"/>
  <c r="AH74" i="45"/>
  <c r="X74" i="45"/>
  <c r="X73" i="45"/>
  <c r="AQ73" i="45" s="1"/>
  <c r="AH73" i="45" s="1"/>
  <c r="X72" i="45"/>
  <c r="AQ72" i="45" s="1"/>
  <c r="AH72" i="45" s="1"/>
  <c r="AC71" i="45"/>
  <c r="X71" i="45"/>
  <c r="AN70" i="45"/>
  <c r="AH70" i="45"/>
  <c r="X70" i="45"/>
  <c r="AN69" i="45"/>
  <c r="AH69" i="45"/>
  <c r="AD69" i="45"/>
  <c r="X69" i="45"/>
  <c r="AH68" i="45"/>
  <c r="X68" i="45"/>
  <c r="AF68" i="45" s="1"/>
  <c r="AH67" i="45"/>
  <c r="AD67" i="45"/>
  <c r="X67" i="45"/>
  <c r="AF67" i="45" s="1"/>
  <c r="AH66" i="45"/>
  <c r="X66" i="45"/>
  <c r="AF66" i="45" s="1"/>
  <c r="AH65" i="45"/>
  <c r="AF65" i="45"/>
  <c r="X65" i="45"/>
  <c r="AD65" i="45" s="1"/>
  <c r="AH64" i="45"/>
  <c r="AD64" i="45"/>
  <c r="X64" i="45"/>
  <c r="AF64" i="45" s="1"/>
  <c r="AH63" i="45"/>
  <c r="AF63" i="45"/>
  <c r="AD63" i="45"/>
  <c r="X63" i="45"/>
  <c r="AC62" i="45"/>
  <c r="X62" i="45"/>
  <c r="AH61" i="45"/>
  <c r="X61" i="45"/>
  <c r="AF61" i="45" s="1"/>
  <c r="AH60" i="45"/>
  <c r="X60" i="45"/>
  <c r="AF60" i="45" s="1"/>
  <c r="X59" i="45"/>
  <c r="AF59" i="45" s="1"/>
  <c r="AF58" i="45"/>
  <c r="X58" i="45"/>
  <c r="AF57" i="45"/>
  <c r="AD57" i="45"/>
  <c r="X57" i="45"/>
  <c r="AH56" i="45"/>
  <c r="X56" i="45"/>
  <c r="AF56" i="45" s="1"/>
  <c r="AC55" i="45"/>
  <c r="X55" i="45"/>
  <c r="AH54" i="45"/>
  <c r="X54" i="45"/>
  <c r="AD54" i="45" s="1"/>
  <c r="AH53" i="45"/>
  <c r="V53" i="45"/>
  <c r="V81" i="45" s="1"/>
  <c r="V82" i="45" s="1"/>
  <c r="AC52" i="45"/>
  <c r="X52" i="45"/>
  <c r="AH51" i="45"/>
  <c r="X51" i="45"/>
  <c r="AD51" i="45" s="1"/>
  <c r="AH50" i="45"/>
  <c r="X50" i="45"/>
  <c r="AF50" i="45" s="1"/>
  <c r="AF49" i="45"/>
  <c r="AD49" i="45"/>
  <c r="X49" i="45"/>
  <c r="AD48" i="45"/>
  <c r="N48" i="45"/>
  <c r="X48" i="45" s="1"/>
  <c r="AF48" i="45" s="1"/>
  <c r="AH47" i="45"/>
  <c r="X47" i="45"/>
  <c r="AD47" i="45" s="1"/>
  <c r="AH46" i="45"/>
  <c r="AD46" i="45"/>
  <c r="X46" i="45"/>
  <c r="AF46" i="45" s="1"/>
  <c r="AH45" i="45"/>
  <c r="X45" i="45"/>
  <c r="AD45" i="45" s="1"/>
  <c r="AH44" i="45"/>
  <c r="AD44" i="45"/>
  <c r="X44" i="45"/>
  <c r="AF44" i="45" s="1"/>
  <c r="AC43" i="45"/>
  <c r="X43" i="45"/>
  <c r="AH42" i="45"/>
  <c r="X42" i="45"/>
  <c r="AF42" i="45" s="1"/>
  <c r="AH41" i="45"/>
  <c r="AF41" i="45"/>
  <c r="X41" i="45"/>
  <c r="AD41" i="45" s="1"/>
  <c r="AH40" i="45"/>
  <c r="X40" i="45"/>
  <c r="AF40" i="45" s="1"/>
  <c r="AC39" i="45"/>
  <c r="X39" i="45"/>
  <c r="AF38" i="45"/>
  <c r="AD38" i="45"/>
  <c r="X38" i="45"/>
  <c r="AF37" i="45"/>
  <c r="AD37" i="45"/>
  <c r="X37" i="45"/>
  <c r="AH36" i="45"/>
  <c r="AF36" i="45"/>
  <c r="X36" i="45"/>
  <c r="AH35" i="45"/>
  <c r="X35" i="45"/>
  <c r="AD35" i="45" s="1"/>
  <c r="AH34" i="45"/>
  <c r="X34" i="45"/>
  <c r="AF34" i="45" s="1"/>
  <c r="AH33" i="45"/>
  <c r="T33" i="45"/>
  <c r="T81" i="45" s="1"/>
  <c r="T82" i="45" s="1"/>
  <c r="O33" i="45"/>
  <c r="AH32" i="45"/>
  <c r="X32" i="45"/>
  <c r="AF32" i="45" s="1"/>
  <c r="X31" i="45"/>
  <c r="AH30" i="45"/>
  <c r="X30" i="45"/>
  <c r="AD30" i="45" s="1"/>
  <c r="AH29" i="45"/>
  <c r="X29" i="45"/>
  <c r="AD29" i="45" s="1"/>
  <c r="AH28" i="45"/>
  <c r="X28" i="45"/>
  <c r="AD28" i="45" s="1"/>
  <c r="AH27" i="45"/>
  <c r="X27" i="45"/>
  <c r="AD27" i="45" s="1"/>
  <c r="AH26" i="45"/>
  <c r="X26" i="45"/>
  <c r="AD26" i="45" s="1"/>
  <c r="X25" i="45"/>
  <c r="AN25" i="45" s="1"/>
  <c r="AH25" i="45" s="1"/>
  <c r="AN24" i="45"/>
  <c r="AH24" i="45" s="1"/>
  <c r="X24" i="45"/>
  <c r="X23" i="45"/>
  <c r="AN23" i="45" s="1"/>
  <c r="AH23" i="45" s="1"/>
  <c r="X22" i="45"/>
  <c r="AI22" i="45" s="1"/>
  <c r="AH22" i="45" s="1"/>
  <c r="X21" i="45"/>
  <c r="AI21" i="45" s="1"/>
  <c r="AH21" i="45" s="1"/>
  <c r="X20" i="45"/>
  <c r="AI20" i="45" s="1"/>
  <c r="AH20" i="45" s="1"/>
  <c r="X19" i="45"/>
  <c r="AI19" i="45" s="1"/>
  <c r="AH19" i="45" s="1"/>
  <c r="X18" i="45"/>
  <c r="AI18" i="45" s="1"/>
  <c r="AH18" i="45" s="1"/>
  <c r="X17" i="45"/>
  <c r="AI17" i="45" s="1"/>
  <c r="AH17" i="45" s="1"/>
  <c r="AL16" i="45"/>
  <c r="AK16" i="45"/>
  <c r="AI16" i="45"/>
  <c r="X16" i="45"/>
  <c r="AQ16" i="45" s="1"/>
  <c r="AH15" i="45"/>
  <c r="AI14" i="45"/>
  <c r="AH14" i="45"/>
  <c r="N14" i="45" s="1"/>
  <c r="AD14" i="45"/>
  <c r="AH13" i="45"/>
  <c r="AE13" i="45" s="1"/>
  <c r="AD13" i="45" s="1"/>
  <c r="X13" i="45"/>
  <c r="AH12" i="45"/>
  <c r="AE12" i="45" s="1"/>
  <c r="AD12" i="45" s="1"/>
  <c r="X12" i="45"/>
  <c r="AH11" i="45"/>
  <c r="AE11" i="45"/>
  <c r="AD11" i="45" s="1"/>
  <c r="X11" i="45"/>
  <c r="AH10" i="45"/>
  <c r="AE10" i="45" s="1"/>
  <c r="AD10" i="45" s="1"/>
  <c r="X10" i="45"/>
  <c r="AH9" i="45"/>
  <c r="AE9" i="45" s="1"/>
  <c r="AD9" i="45" s="1"/>
  <c r="X9" i="45"/>
  <c r="AH8" i="45"/>
  <c r="X8" i="45"/>
  <c r="A15" i="23" l="1"/>
  <c r="X15" i="23" s="1"/>
  <c r="X81" i="23" s="1"/>
  <c r="Z84" i="23" s="1"/>
  <c r="E38" i="44"/>
  <c r="E39" i="44" s="1"/>
  <c r="AN52" i="27"/>
  <c r="AJ16" i="45"/>
  <c r="AF47" i="45"/>
  <c r="X53" i="45"/>
  <c r="X84" i="45"/>
  <c r="AN55" i="25"/>
  <c r="AF71" i="25"/>
  <c r="AG71" i="25" s="1"/>
  <c r="AJ71" i="25" s="1"/>
  <c r="AJ52" i="27"/>
  <c r="AL43" i="27"/>
  <c r="P82" i="45"/>
  <c r="AG81" i="27"/>
  <c r="AD42" i="45"/>
  <c r="AF45" i="45"/>
  <c r="AD34" i="45"/>
  <c r="AF51" i="45"/>
  <c r="AD61" i="45"/>
  <c r="AD68" i="45"/>
  <c r="AF81" i="27"/>
  <c r="AH43" i="27"/>
  <c r="AD40" i="45"/>
  <c r="AD66" i="45"/>
  <c r="AK55" i="25"/>
  <c r="AH55" i="25" s="1"/>
  <c r="AM43" i="25"/>
  <c r="AL52" i="27"/>
  <c r="AL55" i="25"/>
  <c r="AN81" i="27"/>
  <c r="AH71" i="27"/>
  <c r="AO52" i="27"/>
  <c r="AI55" i="25"/>
  <c r="AK52" i="27"/>
  <c r="AK81" i="27" s="1"/>
  <c r="AK81" i="23"/>
  <c r="AJ81" i="23"/>
  <c r="AH52" i="23"/>
  <c r="AL81" i="23"/>
  <c r="AM81" i="23"/>
  <c r="AO81" i="23"/>
  <c r="AH39" i="23"/>
  <c r="AI81" i="23"/>
  <c r="AD81" i="23"/>
  <c r="AI52" i="27"/>
  <c r="AH62" i="27"/>
  <c r="AH39" i="27"/>
  <c r="AH55" i="27"/>
  <c r="AJ81" i="27"/>
  <c r="AO81" i="27"/>
  <c r="AL81" i="27"/>
  <c r="AM81" i="27"/>
  <c r="AD15" i="27"/>
  <c r="A15" i="27" s="1"/>
  <c r="AO55" i="25"/>
  <c r="AI71" i="25"/>
  <c r="AN71" i="25"/>
  <c r="AL71" i="25"/>
  <c r="AJ62" i="25"/>
  <c r="AI62" i="25"/>
  <c r="AO62" i="25"/>
  <c r="AM62" i="25"/>
  <c r="AK62" i="25"/>
  <c r="AN62" i="25"/>
  <c r="AL62" i="25"/>
  <c r="AN52" i="25"/>
  <c r="AJ52" i="25"/>
  <c r="AM52" i="25"/>
  <c r="AL52" i="25"/>
  <c r="AO52" i="25"/>
  <c r="AK52" i="25"/>
  <c r="AI52" i="25"/>
  <c r="AE81" i="25"/>
  <c r="AD8" i="25"/>
  <c r="AQ81" i="25"/>
  <c r="AF33" i="25"/>
  <c r="AD33" i="25"/>
  <c r="AD15" i="25" s="1"/>
  <c r="AH43" i="25"/>
  <c r="AF62" i="45"/>
  <c r="AG62" i="45" s="1"/>
  <c r="AF71" i="45"/>
  <c r="AG71" i="45" s="1"/>
  <c r="N81" i="45"/>
  <c r="X14" i="45"/>
  <c r="AF43" i="45"/>
  <c r="AG43" i="45" s="1"/>
  <c r="AQ81" i="45"/>
  <c r="AF52" i="45"/>
  <c r="AG52" i="45" s="1"/>
  <c r="AD32" i="45"/>
  <c r="Q84" i="45"/>
  <c r="AF54" i="45"/>
  <c r="AM16" i="45"/>
  <c r="AN16" i="45"/>
  <c r="AF35" i="45"/>
  <c r="AP16" i="45"/>
  <c r="AP81" i="45" s="1"/>
  <c r="X33" i="45"/>
  <c r="AE8" i="45"/>
  <c r="O82" i="45"/>
  <c r="A81" i="23" l="1"/>
  <c r="A15" i="25"/>
  <c r="D38" i="44"/>
  <c r="D39" i="44" s="1"/>
  <c r="AD53" i="45"/>
  <c r="AF53" i="45"/>
  <c r="AK71" i="25"/>
  <c r="AH71" i="25" s="1"/>
  <c r="AM71" i="25"/>
  <c r="AO71" i="25"/>
  <c r="AH52" i="27"/>
  <c r="AH81" i="27" s="1"/>
  <c r="AF55" i="45"/>
  <c r="AG55" i="45" s="1"/>
  <c r="AM55" i="45" s="1"/>
  <c r="AH81" i="23"/>
  <c r="AI81" i="27"/>
  <c r="Z83" i="27"/>
  <c r="AD81" i="27"/>
  <c r="A81" i="25"/>
  <c r="A82" i="25" s="1"/>
  <c r="X82" i="25" s="1"/>
  <c r="X15" i="25"/>
  <c r="X81" i="25" s="1"/>
  <c r="AH52" i="25"/>
  <c r="AH62" i="25"/>
  <c r="AF39" i="25"/>
  <c r="AG39" i="25" s="1"/>
  <c r="AF81" i="25"/>
  <c r="Z83" i="25"/>
  <c r="AD81" i="25"/>
  <c r="AI55" i="45"/>
  <c r="AO55" i="45"/>
  <c r="AN55" i="45"/>
  <c r="AI71" i="45"/>
  <c r="AO71" i="45"/>
  <c r="AN71" i="45"/>
  <c r="AJ71" i="45"/>
  <c r="AM71" i="45"/>
  <c r="AL71" i="45"/>
  <c r="AK71" i="45"/>
  <c r="AH16" i="45"/>
  <c r="AM43" i="45"/>
  <c r="AO43" i="45"/>
  <c r="AL43" i="45"/>
  <c r="AN43" i="45"/>
  <c r="AK43" i="45"/>
  <c r="AI43" i="45"/>
  <c r="AJ43" i="45"/>
  <c r="AE81" i="45"/>
  <c r="AD8" i="45"/>
  <c r="AL62" i="45"/>
  <c r="AK62" i="45"/>
  <c r="AJ62" i="45"/>
  <c r="AI62" i="45"/>
  <c r="AM62" i="45"/>
  <c r="AO62" i="45"/>
  <c r="AN62" i="45"/>
  <c r="AD33" i="45"/>
  <c r="AD15" i="45" s="1"/>
  <c r="AF33" i="45"/>
  <c r="AN52" i="45"/>
  <c r="AM52" i="45"/>
  <c r="AL52" i="45"/>
  <c r="AK52" i="45"/>
  <c r="AO52" i="45"/>
  <c r="AJ52" i="45"/>
  <c r="AI52" i="45"/>
  <c r="AH52" i="45" l="1"/>
  <c r="AK55" i="45"/>
  <c r="AL55" i="45"/>
  <c r="AJ55" i="45"/>
  <c r="A81" i="27"/>
  <c r="A82" i="27" s="1"/>
  <c r="X82" i="27" s="1"/>
  <c r="Z82" i="27" s="1"/>
  <c r="X15" i="27"/>
  <c r="X81" i="27" s="1"/>
  <c r="Z84" i="27" s="1"/>
  <c r="Z84" i="25"/>
  <c r="Z82" i="25"/>
  <c r="AL39" i="25"/>
  <c r="AL81" i="25" s="1"/>
  <c r="AG81" i="25"/>
  <c r="AN39" i="25"/>
  <c r="AN81" i="25" s="1"/>
  <c r="AJ39" i="25"/>
  <c r="AJ81" i="25" s="1"/>
  <c r="AK39" i="25"/>
  <c r="AK81" i="25" s="1"/>
  <c r="AI39" i="25"/>
  <c r="AO39" i="25"/>
  <c r="AO81" i="25" s="1"/>
  <c r="AM39" i="25"/>
  <c r="AM81" i="25" s="1"/>
  <c r="A15" i="45"/>
  <c r="AD81" i="45"/>
  <c r="AH43" i="45"/>
  <c r="AH62" i="45"/>
  <c r="AF39" i="45"/>
  <c r="AG39" i="45" s="1"/>
  <c r="AF81" i="45"/>
  <c r="AH55" i="45"/>
  <c r="AH71" i="45"/>
  <c r="AH39" i="25" l="1"/>
  <c r="AH81" i="25" s="1"/>
  <c r="AI81" i="25"/>
  <c r="AO39" i="45"/>
  <c r="AO81" i="45" s="1"/>
  <c r="AN39" i="45"/>
  <c r="AN81" i="45" s="1"/>
  <c r="AG81" i="45"/>
  <c r="AM39" i="45"/>
  <c r="AM81" i="45" s="1"/>
  <c r="AL39" i="45"/>
  <c r="AL81" i="45" s="1"/>
  <c r="AK39" i="45"/>
  <c r="AK81" i="45" s="1"/>
  <c r="AI39" i="45"/>
  <c r="AJ39" i="45"/>
  <c r="AJ81" i="45" s="1"/>
  <c r="Z83" i="45"/>
  <c r="X15" i="45"/>
  <c r="X81" i="45" s="1"/>
  <c r="Z84" i="45" s="1"/>
  <c r="A81" i="45"/>
  <c r="A82" i="45" s="1"/>
  <c r="X82" i="45" s="1"/>
  <c r="Z82" i="45" s="1"/>
  <c r="AH39" i="45" l="1"/>
  <c r="AH81" i="45" s="1"/>
  <c r="AI81" i="45"/>
  <c r="B4" i="44" l="1"/>
  <c r="B5" i="44" l="1"/>
  <c r="B8" i="44" l="1"/>
  <c r="B7" i="44"/>
  <c r="B17" i="44" s="1"/>
  <c r="B18" i="44" l="1"/>
  <c r="B19" i="44" s="1"/>
  <c r="B20" i="44" s="1"/>
  <c r="B9" i="44"/>
  <c r="B10" i="44" s="1"/>
  <c r="D8" i="44" l="1"/>
  <c r="E7" i="44"/>
  <c r="E17" i="44" s="1"/>
  <c r="D7" i="44"/>
  <c r="D17" i="44" s="1"/>
  <c r="C17" i="44"/>
  <c r="E5" i="44"/>
  <c r="D5" i="44"/>
  <c r="D4" i="44"/>
  <c r="C18" i="44" l="1"/>
  <c r="C19" i="44" s="1"/>
  <c r="C20" i="44" s="1"/>
  <c r="D18" i="44"/>
  <c r="C9" i="44"/>
  <c r="C10" i="44" s="1"/>
  <c r="D19" i="44" l="1"/>
  <c r="D20" i="44" s="1"/>
  <c r="D9" i="44"/>
  <c r="D10" i="44" s="1"/>
  <c r="H306" i="35" l="1"/>
  <c r="H307" i="35"/>
  <c r="H308" i="35"/>
  <c r="H309" i="35"/>
  <c r="K732" i="35"/>
  <c r="K734" i="35"/>
  <c r="K735" i="35"/>
  <c r="K736" i="35"/>
  <c r="K737" i="35"/>
  <c r="K738" i="35"/>
  <c r="L738" i="35" s="1"/>
  <c r="K740" i="35"/>
  <c r="K859" i="35"/>
  <c r="K861" i="35"/>
  <c r="K862" i="35"/>
  <c r="K863" i="35"/>
  <c r="K864" i="35"/>
  <c r="K865" i="35"/>
  <c r="K867" i="35"/>
  <c r="K746" i="35" l="1"/>
  <c r="K873" i="35"/>
  <c r="D405" i="35" l="1"/>
  <c r="W86" i="23" l="1"/>
  <c r="V86" i="23"/>
  <c r="U86" i="23"/>
  <c r="T86" i="23"/>
  <c r="S86" i="23"/>
  <c r="R86" i="23"/>
  <c r="Q86" i="23"/>
  <c r="P86" i="23"/>
  <c r="O86" i="23"/>
  <c r="N86" i="23"/>
  <c r="M86" i="23"/>
  <c r="L86" i="23"/>
  <c r="K86" i="23"/>
  <c r="J86" i="23"/>
  <c r="I86" i="23"/>
  <c r="H86" i="23"/>
  <c r="G86" i="23"/>
  <c r="F86" i="23"/>
  <c r="E86" i="23"/>
  <c r="D86" i="23"/>
  <c r="C86" i="23"/>
  <c r="B86" i="23"/>
  <c r="H305" i="35" l="1"/>
  <c r="Z83" i="23" l="1"/>
  <c r="A82" i="23"/>
  <c r="X82" i="23" l="1"/>
  <c r="Z82" i="23" s="1"/>
  <c r="E8" i="44"/>
  <c r="E18" i="44" l="1"/>
  <c r="E19" i="44" s="1"/>
  <c r="E20" i="44" s="1"/>
  <c r="E9" i="44"/>
  <c r="E10" i="44" s="1"/>
  <c r="D1019" i="35"/>
  <c r="C1178" i="35" l="1"/>
  <c r="C1177" i="35"/>
  <c r="C1176" i="35"/>
  <c r="C1175" i="35"/>
  <c r="C1173" i="35"/>
  <c r="C1172" i="35"/>
  <c r="C1171" i="35"/>
  <c r="C1170" i="35"/>
  <c r="C1169" i="35"/>
  <c r="C1168" i="35"/>
  <c r="C1167" i="35"/>
  <c r="D1165" i="35"/>
  <c r="C1126" i="35"/>
  <c r="D1119" i="35"/>
  <c r="D1021" i="35" l="1"/>
  <c r="H871" i="35"/>
  <c r="H870" i="35"/>
  <c r="J869" i="35"/>
  <c r="H868" i="35"/>
  <c r="J867" i="35"/>
  <c r="H866" i="35"/>
  <c r="H864" i="35"/>
  <c r="H863" i="35"/>
  <c r="H862" i="35"/>
  <c r="I861" i="35"/>
  <c r="H860" i="35"/>
  <c r="J859" i="35"/>
  <c r="I859" i="35"/>
  <c r="H859" i="35"/>
  <c r="G859" i="35"/>
  <c r="F859" i="35"/>
  <c r="E859" i="35"/>
  <c r="D859" i="35"/>
  <c r="C859" i="35"/>
  <c r="H744" i="35"/>
  <c r="L744" i="35" s="1"/>
  <c r="H743" i="35"/>
  <c r="L743" i="35" s="1"/>
  <c r="J742" i="35"/>
  <c r="H741" i="35"/>
  <c r="J740" i="35"/>
  <c r="L740" i="35" s="1"/>
  <c r="H739" i="35"/>
  <c r="L739" i="35" s="1"/>
  <c r="H737" i="35"/>
  <c r="L737" i="35" s="1"/>
  <c r="H736" i="35"/>
  <c r="H735" i="35"/>
  <c r="L735" i="35" s="1"/>
  <c r="I734" i="35"/>
  <c r="H733" i="35"/>
  <c r="L733" i="35" s="1"/>
  <c r="J732" i="35"/>
  <c r="I732" i="35"/>
  <c r="H732" i="35"/>
  <c r="G732" i="35"/>
  <c r="F732" i="35"/>
  <c r="E732" i="35"/>
  <c r="D732" i="35"/>
  <c r="C732" i="35"/>
  <c r="L732" i="35" l="1"/>
  <c r="D411" i="35"/>
  <c r="D409" i="35"/>
  <c r="C1127" i="35" l="1"/>
  <c r="C1125" i="35"/>
  <c r="C1124" i="35"/>
  <c r="C1025" i="35"/>
  <c r="C1024" i="35"/>
  <c r="D407" i="35" l="1"/>
  <c r="E409" i="35"/>
  <c r="C741" i="35"/>
  <c r="L741" i="35" s="1"/>
  <c r="C868" i="35"/>
  <c r="E411" i="35"/>
  <c r="C863" i="35"/>
  <c r="C736" i="35"/>
  <c r="C1026" i="35"/>
  <c r="D413" i="35"/>
  <c r="C1174" i="35"/>
  <c r="C1123" i="35"/>
  <c r="C1122" i="35"/>
  <c r="C872" i="35"/>
  <c r="C745" i="35"/>
  <c r="L745" i="35" s="1"/>
  <c r="E407" i="35" l="1"/>
  <c r="J736" i="35"/>
  <c r="L736" i="35" s="1"/>
  <c r="J863" i="35"/>
  <c r="J734" i="35"/>
  <c r="J861" i="35"/>
  <c r="H861" i="35"/>
  <c r="H734" i="35"/>
  <c r="E734" i="35"/>
  <c r="E861" i="35"/>
  <c r="C1121" i="35"/>
  <c r="E413" i="35"/>
  <c r="C734" i="35"/>
  <c r="C861" i="35"/>
  <c r="D861" i="35"/>
  <c r="D734" i="35"/>
  <c r="C1023" i="35"/>
  <c r="G734" i="35"/>
  <c r="G861" i="35"/>
  <c r="F734" i="35"/>
  <c r="F861" i="35"/>
  <c r="E405" i="35"/>
  <c r="D1164" i="35"/>
  <c r="D1118" i="35"/>
  <c r="L734" i="35" l="1"/>
  <c r="D1117" i="35"/>
  <c r="D1163" i="35"/>
  <c r="D1020" i="35"/>
  <c r="I742" i="35" l="1"/>
  <c r="I869" i="35"/>
  <c r="D742" i="35"/>
  <c r="D869" i="35"/>
  <c r="G869" i="35"/>
  <c r="G742" i="35"/>
  <c r="H742" i="35"/>
  <c r="H869" i="35"/>
  <c r="C1027" i="35"/>
  <c r="F869" i="35"/>
  <c r="F742" i="35"/>
  <c r="C869" i="35"/>
  <c r="C742" i="35"/>
  <c r="E869" i="35"/>
  <c r="E742" i="35"/>
  <c r="L742" i="35" l="1"/>
  <c r="D415" i="35" l="1"/>
  <c r="E415" i="35" l="1"/>
  <c r="C1128" i="35"/>
  <c r="C1179" i="35"/>
  <c r="D1028" i="35"/>
  <c r="C1028" i="35"/>
  <c r="D1128" i="35" l="1"/>
  <c r="D1179" i="35"/>
  <c r="C918" i="35" l="1"/>
  <c r="F308" i="35"/>
  <c r="D410" i="35" s="1"/>
  <c r="C919" i="35" l="1"/>
  <c r="C457" i="35" l="1"/>
  <c r="C452" i="35"/>
  <c r="D645" i="35"/>
  <c r="C644" i="35"/>
  <c r="C451" i="35"/>
  <c r="C454" i="35"/>
  <c r="C645" i="35"/>
  <c r="F307" i="35"/>
  <c r="D408" i="35" s="1"/>
  <c r="C450" i="35"/>
  <c r="E643" i="35"/>
  <c r="G306" i="35"/>
  <c r="C920" i="35"/>
  <c r="D644" i="35"/>
  <c r="C453" i="35"/>
  <c r="E644" i="35"/>
  <c r="E645" i="35"/>
  <c r="G307" i="35"/>
  <c r="F305" i="35"/>
  <c r="D404" i="35" s="1"/>
  <c r="F306" i="35"/>
  <c r="D406" i="35" s="1"/>
  <c r="C309" i="35"/>
  <c r="F309" i="35"/>
  <c r="D412" i="35" s="1"/>
  <c r="C456" i="35"/>
  <c r="C458" i="35"/>
  <c r="C455" i="35"/>
  <c r="C308" i="35"/>
  <c r="I309" i="35" l="1"/>
  <c r="E412" i="35" s="1"/>
  <c r="I308" i="35"/>
  <c r="E410" i="35" s="1"/>
  <c r="C916" i="35"/>
  <c r="E306" i="35"/>
  <c r="K306" i="35" s="1"/>
  <c r="C306" i="35"/>
  <c r="C307" i="35"/>
  <c r="C917" i="35"/>
  <c r="C643" i="35"/>
  <c r="D306" i="35"/>
  <c r="J306" i="35" s="1"/>
  <c r="C914" i="35"/>
  <c r="D643" i="35"/>
  <c r="G305" i="35"/>
  <c r="C913" i="35"/>
  <c r="C305" i="35"/>
  <c r="I305" i="35" s="1"/>
  <c r="I306" i="35" l="1"/>
  <c r="E406" i="35" s="1"/>
  <c r="I307" i="35"/>
  <c r="E408" i="35" s="1"/>
  <c r="E404" i="35"/>
  <c r="C915" i="35"/>
  <c r="C310" i="35"/>
  <c r="C912" i="35" l="1"/>
  <c r="F310" i="35"/>
  <c r="I310" i="35" s="1"/>
  <c r="I311" i="35" s="1"/>
  <c r="E414" i="35" l="1"/>
  <c r="D414" i="35"/>
  <c r="D918" i="35" l="1"/>
  <c r="E918" i="35"/>
  <c r="E452" i="35" l="1"/>
  <c r="G308" i="35" l="1"/>
  <c r="D452" i="35"/>
  <c r="J873" i="35" l="1"/>
  <c r="J746" i="35"/>
  <c r="G746" i="35" l="1"/>
  <c r="G873" i="35"/>
  <c r="F873" i="35"/>
  <c r="F746" i="35"/>
  <c r="E873" i="35"/>
  <c r="E746" i="35"/>
  <c r="H746" i="35"/>
  <c r="H873" i="35"/>
  <c r="D746" i="35"/>
  <c r="D873" i="35"/>
  <c r="I873" i="35"/>
  <c r="I746" i="35"/>
  <c r="C746" i="35"/>
  <c r="C873" i="35"/>
  <c r="L746" i="35" l="1"/>
  <c r="C114" i="35"/>
  <c r="C112" i="35"/>
  <c r="C107" i="35"/>
  <c r="C105" i="35"/>
  <c r="C103" i="35"/>
  <c r="C108" i="35"/>
  <c r="C104" i="35" l="1"/>
  <c r="C106" i="35"/>
  <c r="C123" i="35" s="1"/>
  <c r="C573" i="35"/>
  <c r="C111" i="35"/>
  <c r="C120" i="35" s="1"/>
  <c r="C570" i="35"/>
  <c r="C569" i="35"/>
  <c r="C574" i="35"/>
  <c r="C565" i="35"/>
  <c r="C576" i="35"/>
  <c r="C109" i="35"/>
  <c r="C567" i="35"/>
  <c r="C566" i="35"/>
  <c r="C110" i="35"/>
  <c r="C122" i="35" l="1"/>
  <c r="C113" i="35"/>
  <c r="C121" i="35" s="1"/>
  <c r="C575" i="35"/>
  <c r="C577" i="35"/>
  <c r="C115" i="35"/>
  <c r="C568" i="35"/>
  <c r="C646" i="35"/>
  <c r="C459" i="35"/>
  <c r="C572" i="35"/>
  <c r="C571" i="35"/>
  <c r="C61" i="35" l="1"/>
  <c r="C116" i="35" l="1"/>
  <c r="C119" i="35" s="1"/>
  <c r="C102" i="35"/>
  <c r="C124" i="35" s="1"/>
  <c r="C921" i="35"/>
  <c r="C125" i="35" l="1"/>
  <c r="C126" i="35"/>
  <c r="C127" i="35"/>
  <c r="C117" i="35"/>
  <c r="C564" i="35"/>
  <c r="C578" i="35" s="1"/>
  <c r="C648" i="35"/>
  <c r="C649" i="35" s="1"/>
  <c r="C311" i="35"/>
  <c r="C118" i="35"/>
  <c r="C62" i="35" l="1"/>
  <c r="F311" i="35"/>
  <c r="D105" i="35" l="1"/>
  <c r="D107" i="35"/>
  <c r="D108" i="35"/>
  <c r="D106" i="35" l="1"/>
  <c r="D569" i="35"/>
  <c r="D109" i="35"/>
  <c r="D114" i="35"/>
  <c r="D112" i="35"/>
  <c r="D570" i="35"/>
  <c r="D567" i="35"/>
  <c r="D103" i="35"/>
  <c r="D458" i="35"/>
  <c r="D457" i="35"/>
  <c r="D456" i="35"/>
  <c r="D455" i="35"/>
  <c r="D454" i="35"/>
  <c r="D453" i="35"/>
  <c r="D451" i="35"/>
  <c r="D110" i="35"/>
  <c r="D920" i="35"/>
  <c r="D917" i="35"/>
  <c r="D916" i="35"/>
  <c r="D915" i="35"/>
  <c r="D913" i="35"/>
  <c r="D122" i="35" l="1"/>
  <c r="D104" i="35"/>
  <c r="D123" i="35" s="1"/>
  <c r="D113" i="35"/>
  <c r="D121" i="35" s="1"/>
  <c r="D111" i="35"/>
  <c r="D120" i="35" s="1"/>
  <c r="D307" i="35"/>
  <c r="J307" i="35" s="1"/>
  <c r="D919" i="35"/>
  <c r="G309" i="35"/>
  <c r="D309" i="35"/>
  <c r="D450" i="35"/>
  <c r="D459" i="35" s="1"/>
  <c r="D308" i="35"/>
  <c r="J308" i="35" s="1"/>
  <c r="D568" i="35"/>
  <c r="D646" i="35"/>
  <c r="D572" i="35"/>
  <c r="D566" i="35"/>
  <c r="D571" i="35"/>
  <c r="D574" i="35"/>
  <c r="D914" i="35"/>
  <c r="D565" i="35"/>
  <c r="D576" i="35"/>
  <c r="D305" i="35"/>
  <c r="J305" i="35" s="1"/>
  <c r="D61" i="35"/>
  <c r="D575" i="35"/>
  <c r="E451" i="35"/>
  <c r="J309" i="35" l="1"/>
  <c r="D115" i="35"/>
  <c r="D577" i="35"/>
  <c r="D573" i="35"/>
  <c r="D912" i="35" l="1"/>
  <c r="D921" i="35" s="1"/>
  <c r="D310" i="35"/>
  <c r="G310" i="35" l="1"/>
  <c r="J310" i="35" s="1"/>
  <c r="J311" i="35" s="1"/>
  <c r="D116" i="35"/>
  <c r="D119" i="35" s="1"/>
  <c r="D102" i="35"/>
  <c r="D311" i="35"/>
  <c r="D124" i="35" l="1"/>
  <c r="D126" i="35" s="1"/>
  <c r="D118" i="35"/>
  <c r="D117" i="35"/>
  <c r="D62" i="35"/>
  <c r="D564" i="35"/>
  <c r="D578" i="35" s="1"/>
  <c r="D648" i="35"/>
  <c r="D649" i="35" s="1"/>
  <c r="G311" i="35"/>
  <c r="D127" i="35" l="1"/>
  <c r="D125" i="35"/>
  <c r="E114" i="35"/>
  <c r="E112" i="35"/>
  <c r="E108" i="35"/>
  <c r="E107" i="35"/>
  <c r="E105" i="35"/>
  <c r="E103" i="35"/>
  <c r="E458" i="35"/>
  <c r="E457" i="35"/>
  <c r="E456" i="35"/>
  <c r="E455" i="35"/>
  <c r="E454" i="35"/>
  <c r="E453" i="35"/>
  <c r="E109" i="35"/>
  <c r="E110" i="35"/>
  <c r="E122" i="35" l="1"/>
  <c r="E104" i="35"/>
  <c r="E106" i="35"/>
  <c r="E914" i="35"/>
  <c r="E309" i="35"/>
  <c r="E450" i="35"/>
  <c r="E459" i="35" s="1"/>
  <c r="E308" i="35"/>
  <c r="K308" i="35" s="1"/>
  <c r="E570" i="35"/>
  <c r="E917" i="35"/>
  <c r="E919" i="35"/>
  <c r="E565" i="35"/>
  <c r="E569" i="35"/>
  <c r="E567" i="35"/>
  <c r="E576" i="35"/>
  <c r="E572" i="35"/>
  <c r="E568" i="35"/>
  <c r="E566" i="35"/>
  <c r="E571" i="35"/>
  <c r="E574" i="35"/>
  <c r="E123" i="35" l="1"/>
  <c r="K309" i="35"/>
  <c r="E111" i="35"/>
  <c r="E120" i="35" s="1"/>
  <c r="E115" i="35"/>
  <c r="E577" i="35"/>
  <c r="E113" i="35"/>
  <c r="E121" i="35" s="1"/>
  <c r="E646" i="35"/>
  <c r="E920" i="35"/>
  <c r="E307" i="35"/>
  <c r="K307" i="35" s="1"/>
  <c r="E305" i="35"/>
  <c r="K305" i="35" s="1"/>
  <c r="E573" i="35"/>
  <c r="E913" i="35"/>
  <c r="E61" i="35"/>
  <c r="E575" i="35"/>
  <c r="E916" i="35" l="1"/>
  <c r="E915" i="35"/>
  <c r="E102" i="35" l="1"/>
  <c r="E116" i="35"/>
  <c r="E119" i="35" s="1"/>
  <c r="E912" i="35"/>
  <c r="E921" i="35" s="1"/>
  <c r="E310" i="35"/>
  <c r="H310" i="35" s="1"/>
  <c r="H311" i="35" s="1"/>
  <c r="E124" i="35" l="1"/>
  <c r="E118" i="35"/>
  <c r="E117" i="35"/>
  <c r="E311" i="35"/>
  <c r="E648" i="35"/>
  <c r="E649" i="35" s="1"/>
  <c r="E564" i="35"/>
  <c r="E578" i="35" s="1"/>
  <c r="E126" i="35" l="1"/>
  <c r="E125" i="35"/>
  <c r="E127" i="35"/>
  <c r="K310" i="35"/>
  <c r="K311" i="35" s="1"/>
  <c r="E62" i="35"/>
</calcChain>
</file>

<file path=xl/comments1.xml><?xml version="1.0" encoding="utf-8"?>
<comments xmlns="http://schemas.openxmlformats.org/spreadsheetml/2006/main">
  <authors>
    <author>thomas Nielsen</author>
    <author>tc={90E75199-905E-4B16-9E59-54F5D32C9A0F}</author>
    <author>Anders Michael Odgaard</author>
    <author>Thomas Ahrens Nielsen</author>
    <author>Max Gunnar Ansas Guddat</author>
  </authors>
  <commentList>
    <comment ref="AQ13" authorId="0" shapeId="0">
      <text>
        <r>
          <rPr>
            <b/>
            <sz val="9"/>
            <color indexed="81"/>
            <rFont val="Tahoma"/>
            <family val="2"/>
          </rPr>
          <t>thomas Nielsen:</t>
        </r>
        <r>
          <rPr>
            <sz val="9"/>
            <color indexed="81"/>
            <rFont val="Tahoma"/>
            <family val="2"/>
          </rPr>
          <t xml:space="preserve">
alt tog på el = 51,5 TJ
80 % el biler ift. 2018 = 425 TJ  til  el (givet at en elbil har en virkningsgrad på 70) </t>
        </r>
      </text>
    </comment>
    <comment ref="AE14" authorId="0" shapeId="0">
      <text>
        <r>
          <rPr>
            <b/>
            <sz val="9"/>
            <color indexed="81"/>
            <rFont val="Tahoma"/>
            <family val="2"/>
          </rPr>
          <t>thomas Nielsen:</t>
        </r>
        <r>
          <rPr>
            <sz val="9"/>
            <color indexed="81"/>
            <rFont val="Tahoma"/>
            <family val="2"/>
          </rPr>
          <t xml:space="preserve">
Individuelle varmepumper</t>
        </r>
      </text>
    </comment>
    <comment ref="I18" authorId="0" shapeId="0">
      <text>
        <r>
          <rPr>
            <b/>
            <sz val="9"/>
            <color indexed="81"/>
            <rFont val="Tahoma"/>
            <family val="2"/>
          </rPr>
          <t>thomas Nielsen:</t>
        </r>
        <r>
          <rPr>
            <sz val="9"/>
            <color indexed="81"/>
            <rFont val="Tahoma"/>
            <family val="2"/>
          </rPr>
          <t xml:space="preserve">
4 pct. Varmeeffektivisering </t>
        </r>
      </text>
    </comment>
    <comment ref="L26" authorId="0" shapeId="0">
      <text>
        <r>
          <rPr>
            <b/>
            <sz val="9"/>
            <color indexed="81"/>
            <rFont val="Tahoma"/>
            <family val="2"/>
          </rPr>
          <t>thomas Nielsen:</t>
        </r>
        <r>
          <rPr>
            <sz val="9"/>
            <color indexed="81"/>
            <rFont val="Tahoma"/>
            <family val="2"/>
          </rPr>
          <t xml:space="preserve">
Nyt stort solcelle anlæg 153 Tj. </t>
        </r>
      </text>
    </comment>
    <comment ref="J27" authorId="0" shapeId="0">
      <text>
        <r>
          <rPr>
            <b/>
            <sz val="9"/>
            <color indexed="81"/>
            <rFont val="Tahoma"/>
            <family val="2"/>
          </rPr>
          <t>thomas Nielsen:</t>
        </r>
        <r>
          <rPr>
            <sz val="9"/>
            <color indexed="81"/>
            <rFont val="Tahoma"/>
            <family val="2"/>
          </rPr>
          <t xml:space="preserve">
- 325 TJ fra vindmøller der når en alder over 30 år. 
+ 46 nye vindmøller med en forventet merproduktion på ca. 1300 TJ</t>
        </r>
      </text>
    </comment>
    <comment ref="I45" authorId="1"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Varmepumpe Mjelby og langå se ark1 for beregning. 
erstattes af VP - Varmeforbrug der skal dækkes er = 35 TJ</t>
        </r>
      </text>
    </comment>
    <comment ref="I47" authorId="0" shapeId="0">
      <text>
        <r>
          <rPr>
            <b/>
            <sz val="9"/>
            <color indexed="81"/>
            <rFont val="Tahoma"/>
            <family val="2"/>
          </rPr>
          <t>thomas Nielsen:</t>
        </r>
        <r>
          <rPr>
            <sz val="9"/>
            <color indexed="81"/>
            <rFont val="Tahoma"/>
            <family val="2"/>
          </rPr>
          <t xml:space="preserve">
kedeldrift naturgas trukket ud. 18,6 
Samme mængde varme produceres på varmepumpe. Med en COP på 5,82
Lukning af Uggelhuse-Langkastrup Kraftvarmeværk 
der er ligeledes trukket ca. 12 TJ ud, der fremover skal produceres på Elkedel. </t>
        </r>
      </text>
    </comment>
    <comment ref="V53" authorId="2" shapeId="0">
      <text>
        <r>
          <rPr>
            <b/>
            <sz val="9"/>
            <color indexed="81"/>
            <rFont val="Tahoma"/>
            <family val="2"/>
          </rPr>
          <t>Viby renseanlæg</t>
        </r>
        <r>
          <rPr>
            <sz val="9"/>
            <color indexed="81"/>
            <rFont val="Tahoma"/>
            <family val="2"/>
          </rPr>
          <t xml:space="preserve">
</t>
        </r>
      </text>
    </comment>
    <comment ref="I56" authorId="3" shapeId="0">
      <text>
        <r>
          <rPr>
            <b/>
            <sz val="9"/>
            <color indexed="81"/>
            <rFont val="Tahoma"/>
            <family val="2"/>
          </rPr>
          <t>Thomas Ahrens Nielsen:</t>
        </r>
        <r>
          <rPr>
            <sz val="9"/>
            <color indexed="81"/>
            <rFont val="Tahoma"/>
            <family val="2"/>
          </rPr>
          <t xml:space="preserve">
Erstattes af solvarme</t>
        </r>
      </text>
    </comment>
    <comment ref="L60" authorId="0" shapeId="0">
      <text>
        <r>
          <rPr>
            <b/>
            <sz val="9"/>
            <color indexed="81"/>
            <rFont val="Tahoma"/>
            <family val="2"/>
          </rPr>
          <t>thomas Nielsen:</t>
        </r>
        <r>
          <rPr>
            <sz val="9"/>
            <color indexed="81"/>
            <rFont val="Tahoma"/>
            <family val="2"/>
          </rPr>
          <t xml:space="preserve">
Varmeforbrug = -4%</t>
        </r>
      </text>
    </comment>
    <comment ref="C61" authorId="2" shapeId="0">
      <text>
        <r>
          <rPr>
            <b/>
            <sz val="9"/>
            <color indexed="81"/>
            <rFont val="Tahoma"/>
            <family val="2"/>
          </rPr>
          <t>Korrigeret med faktisk brændselsfordeling til kraftvarmeproduktion på SSV3.</t>
        </r>
      </text>
    </comment>
    <comment ref="D61" authorId="2" shapeId="0">
      <text>
        <r>
          <rPr>
            <b/>
            <sz val="9"/>
            <color indexed="81"/>
            <rFont val="Tahoma"/>
            <family val="2"/>
          </rPr>
          <t>Korrigeret med faktisk brændselsfordeling til kraftvarmeproduktion på SSV3.</t>
        </r>
      </text>
    </comment>
    <comment ref="Q61" authorId="2" shapeId="0">
      <text>
        <r>
          <rPr>
            <b/>
            <sz val="9"/>
            <color indexed="81"/>
            <rFont val="Tahoma"/>
            <family val="2"/>
          </rPr>
          <t>Korrigeret med faktisk brændselsfordeling til kraftvarmeproduktion på SSV3.</t>
        </r>
      </text>
    </comment>
    <comment ref="S61" authorId="2" shapeId="0">
      <text>
        <r>
          <rPr>
            <b/>
            <sz val="9"/>
            <color indexed="81"/>
            <rFont val="Tahoma"/>
            <family val="2"/>
          </rPr>
          <t>Korrigeret med faktisk brændselsfordeling til kraftvarmeproduktion på SSV3.</t>
        </r>
        <r>
          <rPr>
            <sz val="9"/>
            <color indexed="81"/>
            <rFont val="Tahoma"/>
            <family val="2"/>
          </rPr>
          <t xml:space="preserve">
</t>
        </r>
      </text>
    </comment>
    <comment ref="F75" authorId="0" shapeId="0">
      <text>
        <r>
          <rPr>
            <b/>
            <sz val="9"/>
            <color indexed="81"/>
            <rFont val="Tahoma"/>
            <family val="2"/>
          </rPr>
          <t>thomas Nielsen:</t>
        </r>
        <r>
          <rPr>
            <sz val="9"/>
            <color indexed="81"/>
            <rFont val="Tahoma"/>
            <family val="2"/>
          </rPr>
          <t xml:space="preserve">
Øvrigvejtransport +20%
</t>
        </r>
      </text>
    </comment>
    <comment ref="G79" authorId="0" shapeId="0">
      <text>
        <r>
          <rPr>
            <b/>
            <sz val="9"/>
            <color indexed="81"/>
            <rFont val="Tahoma"/>
            <family val="2"/>
          </rPr>
          <t>thomas Nielsen:</t>
        </r>
        <r>
          <rPr>
            <sz val="9"/>
            <color indexed="81"/>
            <rFont val="Tahoma"/>
            <family val="2"/>
          </rPr>
          <t xml:space="preserve">
20% sitgning i forbrug til flytransport. </t>
        </r>
      </text>
    </comment>
    <comment ref="F80" authorId="0" shapeId="0">
      <text>
        <r>
          <rPr>
            <b/>
            <sz val="9"/>
            <color indexed="81"/>
            <rFont val="Tahoma"/>
            <family val="2"/>
          </rPr>
          <t>thomas Nielsen:</t>
        </r>
        <r>
          <rPr>
            <sz val="9"/>
            <color indexed="81"/>
            <rFont val="Tahoma"/>
            <family val="2"/>
          </rPr>
          <t xml:space="preserve">
U ændret fra 2030 BAU 
</t>
        </r>
      </text>
    </comment>
    <comment ref="Z84" authorId="4" shapeId="0">
      <text>
        <r>
          <rPr>
            <b/>
            <sz val="9"/>
            <color indexed="81"/>
            <rFont val="Tahoma"/>
            <family val="2"/>
          </rPr>
          <t>For kommuner med fjernvarmeimport: Ikke opdateret i light-regnskab.</t>
        </r>
      </text>
    </comment>
  </commentList>
</comments>
</file>

<file path=xl/comments2.xml><?xml version="1.0" encoding="utf-8"?>
<comments xmlns="http://schemas.openxmlformats.org/spreadsheetml/2006/main">
  <authors>
    <author>thomas Nielsen</author>
    <author>tc={8ACD2729-D317-462D-8215-5E253D327FB4}</author>
    <author>Anders Michael Odgaard</author>
    <author>Thomas Ahrens Nielsen</author>
    <author>Max Gunnar Ansas Guddat</author>
  </authors>
  <commentList>
    <comment ref="AQ13" authorId="0" shapeId="0">
      <text>
        <r>
          <rPr>
            <b/>
            <sz val="9"/>
            <color indexed="81"/>
            <rFont val="Tahoma"/>
            <family val="2"/>
          </rPr>
          <t>thomas Nielsen:</t>
        </r>
        <r>
          <rPr>
            <sz val="9"/>
            <color indexed="81"/>
            <rFont val="Tahoma"/>
            <family val="2"/>
          </rPr>
          <t xml:space="preserve">
elektrificering af tog = 36 TJ 
omstilling  til elbiler = 58,5 TJ
</t>
        </r>
      </text>
    </comment>
    <comment ref="AE14" authorId="0" shapeId="0">
      <text>
        <r>
          <rPr>
            <b/>
            <sz val="9"/>
            <color indexed="81"/>
            <rFont val="Tahoma"/>
            <family val="2"/>
          </rPr>
          <t>thomas Nielsen:</t>
        </r>
        <r>
          <rPr>
            <sz val="9"/>
            <color indexed="81"/>
            <rFont val="Tahoma"/>
            <family val="2"/>
          </rPr>
          <t xml:space="preserve">
Individuelle varmepumper</t>
        </r>
      </text>
    </comment>
    <comment ref="I18" authorId="0" shapeId="0">
      <text>
        <r>
          <rPr>
            <b/>
            <sz val="9"/>
            <color indexed="81"/>
            <rFont val="Tahoma"/>
            <family val="2"/>
          </rPr>
          <t>thomas Nielsen:</t>
        </r>
        <r>
          <rPr>
            <sz val="9"/>
            <color indexed="81"/>
            <rFont val="Tahoma"/>
            <family val="2"/>
          </rPr>
          <t xml:space="preserve">
4 pct. Varmeeffektivisering 
reduktion af individuel naturgas grundet den nye klima aftale. </t>
        </r>
      </text>
    </comment>
    <comment ref="L26" authorId="0" shapeId="0">
      <text>
        <r>
          <rPr>
            <b/>
            <sz val="9"/>
            <color indexed="81"/>
            <rFont val="Tahoma"/>
            <family val="2"/>
          </rPr>
          <t>thomas Nielsen:</t>
        </r>
        <r>
          <rPr>
            <sz val="9"/>
            <color indexed="81"/>
            <rFont val="Tahoma"/>
            <family val="2"/>
          </rPr>
          <t xml:space="preserve">
Nyt stort solcelle anlæg 153 Tj. </t>
        </r>
      </text>
    </comment>
    <comment ref="J27" authorId="0" shapeId="0">
      <text>
        <r>
          <rPr>
            <b/>
            <sz val="9"/>
            <color indexed="81"/>
            <rFont val="Tahoma"/>
            <family val="2"/>
          </rPr>
          <t>thomas Nielsen:</t>
        </r>
        <r>
          <rPr>
            <sz val="9"/>
            <color indexed="81"/>
            <rFont val="Tahoma"/>
            <family val="2"/>
          </rPr>
          <t xml:space="preserve">
- 325 TJ fra vindmøller der når en alder over 30 år. 
+ 46 nye vindmøller med en forventet merproduktion på ca. 1300 TJ</t>
        </r>
      </text>
    </comment>
    <comment ref="I45" authorId="1" shapeId="0">
      <text>
        <r>
          <rPr>
            <sz val="10"/>
            <rFont val="Arial"/>
          </rPr>
          <t>[Trådet kommentar]
Din version af Excel lader dig læse denne trådede kommentar. Eventuelle ændringer vil dog blive fjernet, hvis filen åbnes i en nyere version af Excel. Få mere at vide: https://go.microsoft.com/fwlink/?linkid=870924
Kommentar:
    Varmepumpe Mjelby og langå se ark1 for beregning. 
erstattes af VP - Varmeforbrug der skal dækkes er = 35 TJ</t>
        </r>
      </text>
    </comment>
    <comment ref="I47" authorId="0" shapeId="0">
      <text>
        <r>
          <rPr>
            <b/>
            <sz val="9"/>
            <color indexed="81"/>
            <rFont val="Tahoma"/>
            <family val="2"/>
          </rPr>
          <t>thomas Nielsen:</t>
        </r>
        <r>
          <rPr>
            <sz val="9"/>
            <color indexed="81"/>
            <rFont val="Tahoma"/>
            <family val="2"/>
          </rPr>
          <t xml:space="preserve">
kedeldrift naturgas trukket ud. 18,6 
Samme mængde varme produceres på varmepumpe. Med en COP på 5,82
Lukning af Uggelhuse-Langkastrup Kraftvarmeværk 
der er ligeledes trukket ca. 12 TJ ud, der fremover skal produceres på Elkedel. </t>
        </r>
      </text>
    </comment>
    <comment ref="V53" authorId="2" shapeId="0">
      <text>
        <r>
          <rPr>
            <b/>
            <sz val="9"/>
            <color indexed="81"/>
            <rFont val="Tahoma"/>
            <family val="2"/>
          </rPr>
          <t>Viby renseanlæg</t>
        </r>
        <r>
          <rPr>
            <sz val="9"/>
            <color indexed="81"/>
            <rFont val="Tahoma"/>
            <family val="2"/>
          </rPr>
          <t xml:space="preserve">
</t>
        </r>
      </text>
    </comment>
    <comment ref="I56" authorId="3" shapeId="0">
      <text>
        <r>
          <rPr>
            <b/>
            <sz val="9"/>
            <color indexed="81"/>
            <rFont val="Tahoma"/>
            <family val="2"/>
          </rPr>
          <t>Thomas Ahrens Nielsen:</t>
        </r>
        <r>
          <rPr>
            <sz val="9"/>
            <color indexed="81"/>
            <rFont val="Tahoma"/>
            <family val="2"/>
          </rPr>
          <t xml:space="preserve">
Erstattes af solvarme</t>
        </r>
      </text>
    </comment>
    <comment ref="L60" authorId="0" shapeId="0">
      <text>
        <r>
          <rPr>
            <b/>
            <sz val="9"/>
            <color indexed="81"/>
            <rFont val="Tahoma"/>
            <family val="2"/>
          </rPr>
          <t>thomas Nielsen:</t>
        </r>
        <r>
          <rPr>
            <sz val="9"/>
            <color indexed="81"/>
            <rFont val="Tahoma"/>
            <family val="2"/>
          </rPr>
          <t xml:space="preserve">
Varmeforbrug = -4%</t>
        </r>
      </text>
    </comment>
    <comment ref="C61" authorId="2" shapeId="0">
      <text>
        <r>
          <rPr>
            <b/>
            <sz val="9"/>
            <color indexed="81"/>
            <rFont val="Tahoma"/>
            <family val="2"/>
          </rPr>
          <t>Korrigeret med faktisk brændselsfordeling til kraftvarmeproduktion på SSV3.</t>
        </r>
      </text>
    </comment>
    <comment ref="D61" authorId="2" shapeId="0">
      <text>
        <r>
          <rPr>
            <b/>
            <sz val="9"/>
            <color indexed="81"/>
            <rFont val="Tahoma"/>
            <family val="2"/>
          </rPr>
          <t>Korrigeret med faktisk brændselsfordeling til kraftvarmeproduktion på SSV3.</t>
        </r>
      </text>
    </comment>
    <comment ref="Q61" authorId="2" shapeId="0">
      <text>
        <r>
          <rPr>
            <b/>
            <sz val="9"/>
            <color indexed="81"/>
            <rFont val="Tahoma"/>
            <family val="2"/>
          </rPr>
          <t>Korrigeret med faktisk brændselsfordeling til kraftvarmeproduktion på SSV3.</t>
        </r>
      </text>
    </comment>
    <comment ref="S61" authorId="2" shapeId="0">
      <text>
        <r>
          <rPr>
            <b/>
            <sz val="9"/>
            <color indexed="81"/>
            <rFont val="Tahoma"/>
            <family val="2"/>
          </rPr>
          <t>Korrigeret med faktisk brændselsfordeling til kraftvarmeproduktion på SSV3.</t>
        </r>
        <r>
          <rPr>
            <sz val="9"/>
            <color indexed="81"/>
            <rFont val="Tahoma"/>
            <family val="2"/>
          </rPr>
          <t xml:space="preserve">
</t>
        </r>
      </text>
    </comment>
    <comment ref="H72" authorId="0" shapeId="0">
      <text>
        <r>
          <rPr>
            <b/>
            <sz val="9"/>
            <color indexed="81"/>
            <rFont val="Tahoma"/>
            <family val="2"/>
          </rPr>
          <t>thomas Nielsen:</t>
        </r>
        <r>
          <rPr>
            <sz val="9"/>
            <color indexed="81"/>
            <rFont val="Tahoma"/>
            <family val="2"/>
          </rPr>
          <t xml:space="preserve">
Reduceret med 21 % ift. 2018 niveau.. 
Justeret ift. Basisferemskrivning 2020, ved 380.000 elbiler. </t>
        </r>
      </text>
    </comment>
    <comment ref="G79" authorId="0" shapeId="0">
      <text>
        <r>
          <rPr>
            <b/>
            <sz val="9"/>
            <color indexed="81"/>
            <rFont val="Tahoma"/>
            <family val="2"/>
          </rPr>
          <t>thomas Nielsen:</t>
        </r>
        <r>
          <rPr>
            <sz val="9"/>
            <color indexed="81"/>
            <rFont val="Tahoma"/>
            <family val="2"/>
          </rPr>
          <t xml:space="preserve">
7 % sitgning i forbrug til flytransport. </t>
        </r>
      </text>
    </comment>
    <comment ref="F80" authorId="0" shapeId="0">
      <text>
        <r>
          <rPr>
            <b/>
            <sz val="9"/>
            <color indexed="81"/>
            <rFont val="Tahoma"/>
            <family val="2"/>
          </rPr>
          <t>thomas Nielsen:</t>
        </r>
        <r>
          <rPr>
            <sz val="9"/>
            <color indexed="81"/>
            <rFont val="Tahoma"/>
            <family val="2"/>
          </rPr>
          <t xml:space="preserve">
Søfart  -5%
</t>
        </r>
      </text>
    </comment>
    <comment ref="Z84" authorId="4" shapeId="0">
      <text>
        <r>
          <rPr>
            <b/>
            <sz val="9"/>
            <color indexed="81"/>
            <rFont val="Tahoma"/>
            <family val="2"/>
          </rPr>
          <t>For kommuner med fjernvarmeimport: Ikke opdateret i light-regnskab.</t>
        </r>
      </text>
    </comment>
  </commentList>
</comments>
</file>

<file path=xl/comments3.xml><?xml version="1.0" encoding="utf-8"?>
<comments xmlns="http://schemas.openxmlformats.org/spreadsheetml/2006/main">
  <authors>
    <author>Max Gunnar Ansas Guddat</author>
  </authors>
  <commentList>
    <comment ref="Z84" authorId="0" shapeId="0">
      <text>
        <r>
          <rPr>
            <b/>
            <sz val="9"/>
            <color indexed="81"/>
            <rFont val="Tahoma"/>
            <family val="2"/>
          </rPr>
          <t>For kommuner med fjernvarmeimport: Ikke opdateret i light-regnskab.</t>
        </r>
      </text>
    </comment>
  </commentList>
</comments>
</file>

<file path=xl/comments4.xml><?xml version="1.0" encoding="utf-8"?>
<comments xmlns="http://schemas.openxmlformats.org/spreadsheetml/2006/main">
  <authors>
    <author>Simon Stendorf Sørensen</author>
  </authors>
  <commentList>
    <comment ref="AB53" authorId="0" shapeId="0">
      <text>
        <r>
          <rPr>
            <sz val="9"/>
            <color indexed="81"/>
            <rFont val="Tahoma"/>
            <family val="2"/>
          </rPr>
          <t>Lokal blokvarme</t>
        </r>
      </text>
    </comment>
  </commentList>
</comments>
</file>

<file path=xl/comments5.xml><?xml version="1.0" encoding="utf-8"?>
<comments xmlns="http://schemas.openxmlformats.org/spreadsheetml/2006/main">
  <authors>
    <author>Anders Michael Odgaard</author>
  </authors>
  <commentList>
    <comment ref="B732" authorId="0" shapeId="0">
      <text>
        <r>
          <rPr>
            <sz val="9"/>
            <color indexed="81"/>
            <rFont val="Tahoma"/>
            <family val="2"/>
          </rPr>
          <t>Eldistributionstab er 5 % jf. Energinet.dk. Dette tillægges for at få udvidet endeligt energiforbrug.</t>
        </r>
      </text>
    </comment>
    <comment ref="H743" authorId="0" shapeId="0">
      <text>
        <r>
          <rPr>
            <b/>
            <sz val="9"/>
            <color indexed="81"/>
            <rFont val="Tahoma"/>
            <family val="2"/>
          </rPr>
          <t xml:space="preserve">Egetforbrug af varme (celle AF67) hos industrielle KV-værker.
</t>
        </r>
      </text>
    </comment>
    <comment ref="H870" authorId="0" shapeId="0">
      <text>
        <r>
          <rPr>
            <b/>
            <sz val="9"/>
            <color indexed="81"/>
            <rFont val="Tahoma"/>
            <family val="2"/>
          </rPr>
          <t>Egetforbrug af varme (celle AF67) hos industrielle KV-værker.</t>
        </r>
        <r>
          <rPr>
            <sz val="9"/>
            <color indexed="81"/>
            <rFont val="Tahoma"/>
            <family val="2"/>
          </rPr>
          <t xml:space="preserve">
</t>
        </r>
      </text>
    </comment>
    <comment ref="D1119" authorId="0" shapeId="0">
      <text>
        <r>
          <rPr>
            <b/>
            <sz val="9"/>
            <color indexed="81"/>
            <rFont val="Tahoma"/>
            <family val="2"/>
          </rPr>
          <t>Egetforbrug af varme (celle AF67) hos industrielle KV-værker.</t>
        </r>
      </text>
    </comment>
    <comment ref="D1165" authorId="0" shapeId="0">
      <text>
        <r>
          <rPr>
            <b/>
            <sz val="9"/>
            <color indexed="81"/>
            <rFont val="Tahoma"/>
            <family val="2"/>
          </rPr>
          <t>Egetforbrug af varme (celle AF67) hos industrielle KV-værker.</t>
        </r>
      </text>
    </comment>
  </commentList>
</comments>
</file>

<file path=xl/sharedStrings.xml><?xml version="1.0" encoding="utf-8"?>
<sst xmlns="http://schemas.openxmlformats.org/spreadsheetml/2006/main" count="1088" uniqueCount="357">
  <si>
    <t>Brændsel</t>
  </si>
  <si>
    <t>Slutforbrug</t>
  </si>
  <si>
    <t>Samlet</t>
  </si>
  <si>
    <t>Elkomfur</t>
  </si>
  <si>
    <t>Elvandvarmer</t>
  </si>
  <si>
    <t>Elradiator</t>
  </si>
  <si>
    <t>Solvarmeanlæg</t>
  </si>
  <si>
    <t>Vandkraftanlæg</t>
  </si>
  <si>
    <t>Bølgekraftanlæg</t>
  </si>
  <si>
    <t>Busser</t>
  </si>
  <si>
    <t>Traktorer</t>
  </si>
  <si>
    <t>Skibe</t>
  </si>
  <si>
    <t>tons/indbygger</t>
  </si>
  <si>
    <t>Affaldsforbrændingsanlæg, dampturbine</t>
  </si>
  <si>
    <t>Affaldsforbrændingsanlæg, kedel</t>
  </si>
  <si>
    <t>Affaldsforbrændingsanlæg, kombianlæg</t>
  </si>
  <si>
    <t>Lokale KV-værker, motor</t>
  </si>
  <si>
    <t>Lokale KV-værker, kedel</t>
  </si>
  <si>
    <t>Belysning</t>
  </si>
  <si>
    <t>Elkompressorer</t>
  </si>
  <si>
    <t>Industrielle KV-værker, dampturbine</t>
  </si>
  <si>
    <t>Industrielle KV-værker, forbrændingsmotor</t>
  </si>
  <si>
    <t>Industrielle KV-værker, gasturbine</t>
  </si>
  <si>
    <t>Industrielle KV-værker, kedel</t>
  </si>
  <si>
    <t>Industrielle KV-værker, kombianlæg</t>
  </si>
  <si>
    <t>Industrielle KV-værker, overskudsvarme</t>
  </si>
  <si>
    <t>Industrielle KV-værker, forbrug, eget forbrug, el</t>
  </si>
  <si>
    <t>Industrielle KV-værker, forbrug, eget forbrug, varme</t>
  </si>
  <si>
    <t>Fjernvarmeværker, kedel</t>
  </si>
  <si>
    <t>Decentrale KV-værker, gasturbine</t>
  </si>
  <si>
    <t>Decentrale KV-værker, kedel</t>
  </si>
  <si>
    <t>Decentrale KV-værker, kombianlæg</t>
  </si>
  <si>
    <t>Tog</t>
  </si>
  <si>
    <t>Fly</t>
  </si>
  <si>
    <t>Elimport</t>
  </si>
  <si>
    <t>Lokalt biomassepotentiale</t>
  </si>
  <si>
    <t>Decentrale KV-værker, solvarme</t>
  </si>
  <si>
    <t>Import fjernvarme</t>
  </si>
  <si>
    <t>Udnyttelsesprocent af lokalt biomassepotentiale</t>
  </si>
  <si>
    <t>Centrale kraftværker, dampturbine</t>
  </si>
  <si>
    <t>Centrale kraftværker, forbrændingsmotor</t>
  </si>
  <si>
    <t>Centrale kraftværker, gasturbine</t>
  </si>
  <si>
    <t>Centrale kraftværker, kedel</t>
  </si>
  <si>
    <t>Decentrale KV-værker, dampturbine</t>
  </si>
  <si>
    <t>Decentrale KV-værker, forbrændingsmotor</t>
  </si>
  <si>
    <t xml:space="preserve">Solcelleanlæg </t>
  </si>
  <si>
    <t>Enheder:</t>
  </si>
  <si>
    <t>TJ, tons</t>
  </si>
  <si>
    <t>Antal indbyggere:</t>
  </si>
  <si>
    <t>%</t>
  </si>
  <si>
    <t>Elnetvirkningsgrad:</t>
  </si>
  <si>
    <t>Anlægstype</t>
  </si>
  <si>
    <t>Fjernvarmenet</t>
  </si>
  <si>
    <t>Elnet</t>
  </si>
  <si>
    <t>Varmepumper, individuel</t>
  </si>
  <si>
    <t>Gasoliekedel, individuel</t>
  </si>
  <si>
    <t>Naturgaskedel, individuel</t>
  </si>
  <si>
    <t>Træpillekedel, individuel</t>
  </si>
  <si>
    <t>Brændekedel og -ovn, individuel</t>
  </si>
  <si>
    <t>Halmfyr, individuel</t>
  </si>
  <si>
    <t xml:space="preserve">Gasoliekedel, erhverv </t>
  </si>
  <si>
    <t xml:space="preserve">Naturgaskedel, erhverv </t>
  </si>
  <si>
    <t>Vindkraftanlæg, land</t>
  </si>
  <si>
    <t>Centrale kraftværker, fjernvarmeproduktion</t>
  </si>
  <si>
    <t>Affaldsforbrændingsanlæg, fjernvarmeproduktion</t>
  </si>
  <si>
    <t>Decentrale KV-værker, fjernvarmeproduktion</t>
  </si>
  <si>
    <t>Lokale KV-værker, fjernvarmeproduktion</t>
  </si>
  <si>
    <t>Industrielle KV-værker, fjernvarmeproduktion</t>
  </si>
  <si>
    <t>Benzinbiler</t>
  </si>
  <si>
    <t>Dieselbiler</t>
  </si>
  <si>
    <t>Lastbiler m.m.</t>
  </si>
  <si>
    <t>Elmotorer m.m.</t>
  </si>
  <si>
    <t>Gaskomfur, proces, m.m.</t>
  </si>
  <si>
    <t xml:space="preserve">Geografisk energibalance for </t>
  </si>
  <si>
    <t xml:space="preserve">  Elimport</t>
  </si>
  <si>
    <t xml:space="preserve">  LPG og petroleum</t>
  </si>
  <si>
    <t xml:space="preserve">  Kul</t>
  </si>
  <si>
    <t xml:space="preserve">  Fuelolie</t>
  </si>
  <si>
    <t xml:space="preserve">  Brændselsolie</t>
  </si>
  <si>
    <t xml:space="preserve">  Dieselolie</t>
  </si>
  <si>
    <t xml:space="preserve">  JP1</t>
  </si>
  <si>
    <t xml:space="preserve">  Benzin</t>
  </si>
  <si>
    <t xml:space="preserve">  Naturgas</t>
  </si>
  <si>
    <t xml:space="preserve">  Vindenergi</t>
  </si>
  <si>
    <t xml:space="preserve">  Vandenergi</t>
  </si>
  <si>
    <t xml:space="preserve">  Solenergi</t>
  </si>
  <si>
    <t xml:space="preserve">  Geotermi</t>
  </si>
  <si>
    <t xml:space="preserve">  Varmekilder til varmepumper</t>
  </si>
  <si>
    <t xml:space="preserve">  Husdyrsgødning</t>
  </si>
  <si>
    <t xml:space="preserve">  Biobrændstof og energiafgrøder</t>
  </si>
  <si>
    <t xml:space="preserve">  Halm</t>
  </si>
  <si>
    <t xml:space="preserve">  Brænde og træflis</t>
  </si>
  <si>
    <t xml:space="preserve">  Træpiller og træaffald</t>
  </si>
  <si>
    <t xml:space="preserve">  Organisk affald, industri</t>
  </si>
  <si>
    <t xml:space="preserve">  Organisk affald, husholdninger</t>
  </si>
  <si>
    <t xml:space="preserve">  Deponi, slam, renseanlæg</t>
  </si>
  <si>
    <t xml:space="preserve">  Affald, ikke bionedbrydeligt</t>
  </si>
  <si>
    <t xml:space="preserve">  Faktisk energiforbrug</t>
  </si>
  <si>
    <t xml:space="preserve">  El</t>
  </si>
  <si>
    <t xml:space="preserve">  Proces</t>
  </si>
  <si>
    <t xml:space="preserve">  Varme</t>
  </si>
  <si>
    <t xml:space="preserve">  Fjernvarmenet</t>
  </si>
  <si>
    <t xml:space="preserve">  Ab værk</t>
  </si>
  <si>
    <t xml:space="preserve">  An forbruger</t>
  </si>
  <si>
    <t>Virkningsgrad</t>
  </si>
  <si>
    <t xml:space="preserve">  Samlet</t>
  </si>
  <si>
    <t xml:space="preserve">  Boliger og fritidshuse</t>
  </si>
  <si>
    <t xml:space="preserve">  Offentlig service</t>
  </si>
  <si>
    <t xml:space="preserve">  Privat service</t>
  </si>
  <si>
    <t xml:space="preserve">  Detail- og engroshandel</t>
  </si>
  <si>
    <t xml:space="preserve">  Bygge- og anlægsvirksomhed</t>
  </si>
  <si>
    <t xml:space="preserve">  Fremstillingsvirksomhed</t>
  </si>
  <si>
    <t xml:space="preserve">  Gartneri</t>
  </si>
  <si>
    <t xml:space="preserve">  Landbrug</t>
  </si>
  <si>
    <t xml:space="preserve">  Transport</t>
  </si>
  <si>
    <t>Fjernvarmeværker, fjernvarmeproduktion</t>
  </si>
  <si>
    <t>Decentrale KV-værker, varmepumpe</t>
  </si>
  <si>
    <t>Decentrale KV-værker, elpatron</t>
  </si>
  <si>
    <t>Fjernvarmeværker, elpatron</t>
  </si>
  <si>
    <t>Fjernvarmeværker, geotermi</t>
  </si>
  <si>
    <t>Fjernvarmeværker, varmepumpe</t>
  </si>
  <si>
    <t>Varebiler</t>
  </si>
  <si>
    <t>%)</t>
  </si>
  <si>
    <t xml:space="preserve">  Elimport   (heraf VE-andel:</t>
  </si>
  <si>
    <t>Vindkraftanlæg, kystnære (50 %)</t>
  </si>
  <si>
    <t>Klik for at komme til den ønskede graf:</t>
  </si>
  <si>
    <t>Andel vedvarende energi</t>
  </si>
  <si>
    <t>Bruttoenergiforbrug</t>
  </si>
  <si>
    <t>Bruttoenergiforbrug fordelt på brændsler</t>
  </si>
  <si>
    <t>TJ/år</t>
  </si>
  <si>
    <t>Fossil</t>
  </si>
  <si>
    <t>Elimport (fossilbaseret)</t>
  </si>
  <si>
    <t>Kul</t>
  </si>
  <si>
    <t>Naturgas og LPG</t>
  </si>
  <si>
    <t>Fuelolie</t>
  </si>
  <si>
    <t>Brændselsolie/diesel</t>
  </si>
  <si>
    <t>JP1</t>
  </si>
  <si>
    <t>Benzin</t>
  </si>
  <si>
    <t>Affald, ikke bionedbrydeligt</t>
  </si>
  <si>
    <t>VE</t>
  </si>
  <si>
    <t>Affald, bionedbrydeligt</t>
  </si>
  <si>
    <t>Biomasse</t>
  </si>
  <si>
    <t>Vindenergi</t>
  </si>
  <si>
    <t>Biogas</t>
  </si>
  <si>
    <t>Solenergi</t>
  </si>
  <si>
    <t>Jordvarme, geotermi, vandkraft mm.</t>
  </si>
  <si>
    <t>Elimport (VE-baseret)</t>
  </si>
  <si>
    <t>I alt</t>
  </si>
  <si>
    <t>I alt fossil</t>
  </si>
  <si>
    <t>I alt VE</t>
  </si>
  <si>
    <t>Bruttoenergiforbrug opdelt på vedvarende energi og fossile brændsler</t>
  </si>
  <si>
    <t xml:space="preserve">Vedvarende energi fordelt på ressourcetyper </t>
  </si>
  <si>
    <t>Bruttoenergiforbrug fordelt på omsætningsenheder</t>
  </si>
  <si>
    <t>Individuel opvarmning</t>
  </si>
  <si>
    <t>Kollektiv el- og varmeforsyning</t>
  </si>
  <si>
    <t>Industri</t>
  </si>
  <si>
    <t>Transport</t>
  </si>
  <si>
    <t>El-import</t>
  </si>
  <si>
    <t xml:space="preserve">Brændselsforbrug fordelt på omsætningsenheder </t>
  </si>
  <si>
    <t>Bruttoenergiforbrug fordelt på omsætningsenheder for vedvarende energi og fossile brændsler</t>
  </si>
  <si>
    <t xml:space="preserve">Brug af vedvarende energi opdelt på omsætningsenheder </t>
  </si>
  <si>
    <t>Bruttoenenergiforbrug til transport</t>
  </si>
  <si>
    <t>Bruttoenenergiforbrug til transport fordelt på transportform</t>
  </si>
  <si>
    <r>
      <t>CO</t>
    </r>
    <r>
      <rPr>
        <b/>
        <vertAlign val="subscript"/>
        <sz val="18"/>
        <rFont val="Arial"/>
        <family val="2"/>
      </rPr>
      <t>2</t>
    </r>
    <r>
      <rPr>
        <b/>
        <sz val="18"/>
        <rFont val="Arial"/>
        <family val="2"/>
      </rPr>
      <t>-udledning</t>
    </r>
  </si>
  <si>
    <r>
      <t>CO</t>
    </r>
    <r>
      <rPr>
        <b/>
        <vertAlign val="subscript"/>
        <sz val="10"/>
        <rFont val="Arial"/>
        <family val="2"/>
      </rPr>
      <t>2</t>
    </r>
    <r>
      <rPr>
        <b/>
        <sz val="10"/>
        <rFont val="Arial"/>
        <family val="2"/>
      </rPr>
      <t>-udledning fordelt på brændsler</t>
    </r>
  </si>
  <si>
    <r>
      <t>1.000 tons CO</t>
    </r>
    <r>
      <rPr>
        <b/>
        <vertAlign val="subscript"/>
        <sz val="10"/>
        <rFont val="Arial"/>
        <family val="2"/>
      </rPr>
      <t>2</t>
    </r>
  </si>
  <si>
    <t>FOSSIL</t>
  </si>
  <si>
    <r>
      <t>CO</t>
    </r>
    <r>
      <rPr>
        <b/>
        <vertAlign val="subscript"/>
        <sz val="10"/>
        <rFont val="Arial"/>
        <family val="2"/>
      </rPr>
      <t>2</t>
    </r>
    <r>
      <rPr>
        <b/>
        <sz val="10"/>
        <rFont val="Arial"/>
        <family val="2"/>
      </rPr>
      <t xml:space="preserve">-udledning fordelt på omsætningsenheder </t>
    </r>
  </si>
  <si>
    <t>Udvidede endelige energiforbrug</t>
  </si>
  <si>
    <t>Boliger og fritidshuse</t>
  </si>
  <si>
    <t>Offentlig service</t>
  </si>
  <si>
    <t>Privat service</t>
  </si>
  <si>
    <t>Detail- og engroshandel</t>
  </si>
  <si>
    <t>Bygge- og anlægsvirksomhed</t>
  </si>
  <si>
    <t>Fremstillingsvirksomhed</t>
  </si>
  <si>
    <t>Gartneri</t>
  </si>
  <si>
    <t>Landbrug</t>
  </si>
  <si>
    <t>El</t>
  </si>
  <si>
    <t>Biobrændstof</t>
  </si>
  <si>
    <t>Fjernvarme</t>
  </si>
  <si>
    <t>Solenergi og jordvarme</t>
  </si>
  <si>
    <t>Slutforbrug af varme fordelt på anlægstype</t>
  </si>
  <si>
    <t>Naturgasfyr</t>
  </si>
  <si>
    <t>Oliefyr</t>
  </si>
  <si>
    <t>Træpille- og stokerfyr</t>
  </si>
  <si>
    <t>Brændekedel og -ovn</t>
  </si>
  <si>
    <t>Halmfyr</t>
  </si>
  <si>
    <t>Elvarme</t>
  </si>
  <si>
    <t>Individuelle varmepumper</t>
  </si>
  <si>
    <t>Individuel solvarme</t>
  </si>
  <si>
    <t>Elbalance</t>
  </si>
  <si>
    <t>Produktion</t>
  </si>
  <si>
    <t>Forbrug</t>
  </si>
  <si>
    <t>Elforbrug</t>
  </si>
  <si>
    <t>Nettab</t>
  </si>
  <si>
    <t>Elforbrug til fjernvarmeprod.</t>
  </si>
  <si>
    <t>Kraftvarme</t>
  </si>
  <si>
    <t>Vindkraft, land</t>
  </si>
  <si>
    <t>Solcelleanlæg, vandkraft mv.</t>
  </si>
  <si>
    <t>Naturgas</t>
  </si>
  <si>
    <t>Vandenergi mv.</t>
  </si>
  <si>
    <t>Fjernvarmebalance</t>
  </si>
  <si>
    <t>TJ</t>
  </si>
  <si>
    <t>Kedel</t>
  </si>
  <si>
    <t>Varmepumper og elpatroner</t>
  </si>
  <si>
    <t>Solvarme</t>
  </si>
  <si>
    <t>El (varmepumper, elpatroner)</t>
  </si>
  <si>
    <t>Vindkraft mm.</t>
  </si>
  <si>
    <r>
      <t xml:space="preserve">VE% </t>
    </r>
    <r>
      <rPr>
        <vertAlign val="subscript"/>
        <sz val="10"/>
        <rFont val="Arial"/>
        <family val="2"/>
      </rPr>
      <t>Global</t>
    </r>
  </si>
  <si>
    <r>
      <t xml:space="preserve">VE% </t>
    </r>
    <r>
      <rPr>
        <vertAlign val="subscript"/>
        <sz val="10"/>
        <rFont val="Arial"/>
        <family val="2"/>
      </rPr>
      <t>Lokal</t>
    </r>
  </si>
  <si>
    <t>% VE (Global)</t>
  </si>
  <si>
    <t>Procesvarme fra KV-produktion</t>
  </si>
  <si>
    <t>Egetforbrug af varme, industri</t>
  </si>
  <si>
    <t>Centrale kraftværker, varmepumpe</t>
  </si>
  <si>
    <t>Centrale kraftværker, elpatron</t>
  </si>
  <si>
    <t>Biogasanlæg, motor</t>
  </si>
  <si>
    <t>Biogasanlæg, opgradering</t>
  </si>
  <si>
    <t>Industrikedel, erhverv</t>
  </si>
  <si>
    <t>Overskudsvarme</t>
  </si>
  <si>
    <t>Geotermi</t>
  </si>
  <si>
    <t>Vindkraft, kystnære</t>
  </si>
  <si>
    <t>CO2-emissioner (1.000 tons)</t>
  </si>
  <si>
    <t>CO2-emission (tons/TJ)</t>
  </si>
  <si>
    <t>BAU2030</t>
  </si>
  <si>
    <t>BAU2050</t>
  </si>
  <si>
    <t>Elbalance (produktion fordelt på anlægstype)</t>
  </si>
  <si>
    <t>Elbalance (produktion fordelt på brændsel)</t>
  </si>
  <si>
    <t>Fjernvarmebalance (produktion fordelt på anlægstype)</t>
  </si>
  <si>
    <t>Fjernvarmebalance (produktion fordelt på brændsel)</t>
  </si>
  <si>
    <t xml:space="preserve">Bruttoenenergiforbrug til transport </t>
  </si>
  <si>
    <r>
      <t>CO</t>
    </r>
    <r>
      <rPr>
        <b/>
        <vertAlign val="subscript"/>
        <sz val="10"/>
        <rFont val="Arial"/>
        <family val="2"/>
      </rPr>
      <t>2</t>
    </r>
    <r>
      <rPr>
        <b/>
        <sz val="10"/>
        <rFont val="Arial"/>
        <family val="2"/>
      </rPr>
      <t xml:space="preserve">-udledning opdelt på brændsler </t>
    </r>
  </si>
  <si>
    <t>Udvidede endelige energiforbrug fordelt på kategorier</t>
  </si>
  <si>
    <t>Udvidede endelige energiforbrug fordelt på brændsler</t>
  </si>
  <si>
    <t>Slutforbrug fordelt på kategorier</t>
  </si>
  <si>
    <t xml:space="preserve">Slutforbrug af varme opdelt på anlægstype </t>
  </si>
  <si>
    <t xml:space="preserve">Bruttoenergiforbrug opdelt på brændsler </t>
  </si>
  <si>
    <t xml:space="preserve">Bruttoenergiforbrug opdelt på vedvarende energi og fossile brændsler </t>
  </si>
  <si>
    <t xml:space="preserve">Vedvarende energi opdelt på ressourcetyper </t>
  </si>
  <si>
    <t xml:space="preserve">Bruttoenenergiforbrug til transport opdelt på transportform </t>
  </si>
  <si>
    <t xml:space="preserve">Brændselsforbrug opdelt på omsætningsenheder </t>
  </si>
  <si>
    <t>Mål2050</t>
  </si>
  <si>
    <t>BAU 2030</t>
  </si>
  <si>
    <t>Ton pr. indb.</t>
  </si>
  <si>
    <t>Affald</t>
  </si>
  <si>
    <t>Olie og gas</t>
  </si>
  <si>
    <t>Fast Biomasse</t>
  </si>
  <si>
    <t>Industri (energi)</t>
  </si>
  <si>
    <t>Fjernvarmeværker, solvarme</t>
  </si>
  <si>
    <r>
      <t>CO</t>
    </r>
    <r>
      <rPr>
        <b/>
        <vertAlign val="subscript"/>
        <sz val="10"/>
        <rFont val="Arial"/>
        <family val="2"/>
      </rPr>
      <t>2</t>
    </r>
    <r>
      <rPr>
        <b/>
        <sz val="10"/>
        <rFont val="Arial"/>
        <family val="2"/>
      </rPr>
      <t>-emissioner (1.000 tons)</t>
    </r>
  </si>
  <si>
    <r>
      <t>CO</t>
    </r>
    <r>
      <rPr>
        <vertAlign val="subscript"/>
        <sz val="10"/>
        <rFont val="Arial"/>
        <family val="2"/>
      </rPr>
      <t>2</t>
    </r>
    <r>
      <rPr>
        <sz val="10"/>
        <rFont val="Arial"/>
        <family val="2"/>
      </rPr>
      <t>-emission (tons/TJ)</t>
    </r>
  </si>
  <si>
    <t>Øvrig energisektor</t>
  </si>
  <si>
    <t>Randers Kommune 2018</t>
  </si>
  <si>
    <t>% VE (Lokal)</t>
  </si>
  <si>
    <t>Randers Kommune 1990</t>
  </si>
  <si>
    <t>Randers Kommune BAU 2030</t>
  </si>
  <si>
    <t>Eltog (70%)</t>
  </si>
  <si>
    <t>Tog til el</t>
  </si>
  <si>
    <t>tj</t>
  </si>
  <si>
    <t>Olie individuel</t>
  </si>
  <si>
    <t>75 % til el</t>
  </si>
  <si>
    <t>25 % til træpiller</t>
  </si>
  <si>
    <t>Randers kommune BAU 2050</t>
  </si>
  <si>
    <t xml:space="preserve">Disel </t>
  </si>
  <si>
    <t>forbrug der dækkes af el</t>
  </si>
  <si>
    <t>70 % effektiv</t>
  </si>
  <si>
    <t>Varebil</t>
  </si>
  <si>
    <t>VP</t>
  </si>
  <si>
    <t>Mjelby</t>
  </si>
  <si>
    <t>Langå</t>
  </si>
  <si>
    <t xml:space="preserve">Naturgas/ MWH </t>
  </si>
  <si>
    <t>SOLvarme</t>
  </si>
  <si>
    <t>Elkedel</t>
  </si>
  <si>
    <t>NM3</t>
  </si>
  <si>
    <t>MJ</t>
  </si>
  <si>
    <t>Vindmøller</t>
  </si>
  <si>
    <t>udlagt område til opstilling af 46 nye vindmøller</t>
  </si>
  <si>
    <t xml:space="preserve">Merproduktion på 510. mio KWh </t>
  </si>
  <si>
    <t>Mwh</t>
  </si>
  <si>
    <t>forbrug der erstattes</t>
  </si>
  <si>
    <t>Mål 2030</t>
  </si>
  <si>
    <t>Indbygger Randers</t>
  </si>
  <si>
    <r>
      <t>1.000 tons CO</t>
    </r>
    <r>
      <rPr>
        <b/>
        <vertAlign val="subscript"/>
        <sz val="10"/>
        <rFont val="Arial"/>
        <family val="2"/>
      </rPr>
      <t>3</t>
    </r>
    <r>
      <rPr>
        <sz val="11"/>
        <color theme="1"/>
        <rFont val="Calibri"/>
        <family val="2"/>
        <scheme val="minor"/>
      </rPr>
      <t/>
    </r>
  </si>
  <si>
    <r>
      <t>1.000 tons CO</t>
    </r>
    <r>
      <rPr>
        <b/>
        <vertAlign val="subscript"/>
        <sz val="10"/>
        <rFont val="Arial"/>
        <family val="2"/>
      </rPr>
      <t>4</t>
    </r>
    <r>
      <rPr>
        <sz val="11"/>
        <color theme="1"/>
        <rFont val="Calibri"/>
        <family val="2"/>
        <scheme val="minor"/>
      </rPr>
      <t/>
    </r>
  </si>
  <si>
    <t>Mål 2050</t>
  </si>
  <si>
    <t>Elbalance i 2018 (produktion fordelt på brændsel)</t>
  </si>
  <si>
    <t>El produktion / TJ</t>
  </si>
  <si>
    <t>El forbrug / TJ</t>
  </si>
  <si>
    <t xml:space="preserve">Nuværende møller 3,5 gange mindre produktion </t>
  </si>
  <si>
    <t>COP = 3</t>
  </si>
  <si>
    <t xml:space="preserve">https://videnomvind.dk/svar-paa-rede-haand/hvor-mange-kilowatt-producerer-sol-og-vind-pr-hektar/ </t>
  </si>
  <si>
    <t>MWh --&gt; TJ</t>
  </si>
  <si>
    <t>Solceller</t>
  </si>
  <si>
    <t>Kwh/ha</t>
  </si>
  <si>
    <t>MWh/ha</t>
  </si>
  <si>
    <t>MWH</t>
  </si>
  <si>
    <t>TJ/ha</t>
  </si>
  <si>
    <t>Elforbrug der skal dækkes i Randers Kommune 2050</t>
  </si>
  <si>
    <t>Antal Ha</t>
  </si>
  <si>
    <t>Vindmøller (150 m)</t>
  </si>
  <si>
    <t xml:space="preserve">Tung transport </t>
  </si>
  <si>
    <t>Elforbrug pr. indbygger kWh</t>
  </si>
  <si>
    <t>Vindkraft, hav</t>
  </si>
  <si>
    <t>Elproduktion anlægstype / TJ</t>
  </si>
  <si>
    <t>Fordeling 2050</t>
  </si>
  <si>
    <t>Tungtransport</t>
  </si>
  <si>
    <t>Inkl. biogasopgradering</t>
  </si>
  <si>
    <t>Elforbrug og elproduktion</t>
  </si>
  <si>
    <t>125 meter (2,3 MW, 3.000 fuldlasttimer):</t>
  </si>
  <si>
    <t>138 meter (3,1 MW, 3.100 fuldlasttimer):</t>
  </si>
  <si>
    <t>150 meter (4,2 MW, 3.400 fuldlasttimer):</t>
  </si>
  <si>
    <t>193 meter (6 MW, 3.800 fuldlasttimer):</t>
  </si>
  <si>
    <t xml:space="preserve">TJ/år </t>
  </si>
  <si>
    <t>Space requirement (1000m2/MW)</t>
  </si>
  <si>
    <t>*Bemærk, at antal fuldlasttimer vil variere med placering og mølletype</t>
  </si>
  <si>
    <t>El produktion fra Solceller</t>
  </si>
  <si>
    <t>El produktion fra Vindmøller</t>
  </si>
  <si>
    <t>Erfaringstal fra  Hjørring Kommune</t>
  </si>
  <si>
    <t>Markbaseret solceller pr. ha</t>
  </si>
  <si>
    <t xml:space="preserve">Energistyrrelsen teknologikatalog </t>
  </si>
  <si>
    <t>Fordeling 2030</t>
  </si>
  <si>
    <t xml:space="preserve">stk. </t>
  </si>
  <si>
    <t>ha.</t>
  </si>
  <si>
    <t>Data Fra Videnomvind.dk (Interesseorganisation) til sammenligning</t>
  </si>
  <si>
    <t>kWh/år/ha</t>
  </si>
  <si>
    <t xml:space="preserve">Eksempel </t>
  </si>
  <si>
    <t>9 stk</t>
  </si>
  <si>
    <t>7 stk</t>
  </si>
  <si>
    <t>11 ha</t>
  </si>
  <si>
    <t xml:space="preserve">Markbaseret solceller </t>
  </si>
  <si>
    <t>125 meter (2,3 MW, 3.000 fuldlasttimer)</t>
  </si>
  <si>
    <t>150 meter (4,2 MW, 3.400 fuldlasttimer)</t>
  </si>
  <si>
    <t>193 meter (6 MW, 3.800 fuldlasttimer)</t>
  </si>
  <si>
    <t>Total</t>
  </si>
  <si>
    <t>Antal</t>
  </si>
  <si>
    <t>Type</t>
  </si>
  <si>
    <t>3 stk</t>
  </si>
  <si>
    <t>Planens indsatser</t>
  </si>
  <si>
    <t>Landbrug og arealanvendelse</t>
  </si>
  <si>
    <t>Industrielle processer*</t>
  </si>
  <si>
    <t>Udledningssti - Klimaplan 2050</t>
  </si>
  <si>
    <t>Manko til netto-nul</t>
  </si>
  <si>
    <t>udledning i 1990</t>
  </si>
  <si>
    <t>udledning i 2018</t>
  </si>
  <si>
    <t>2018 uden kompensation for grøn strøm</t>
  </si>
  <si>
    <t>reduktion i 2030</t>
  </si>
  <si>
    <t xml:space="preserve">reduktion i 2050 </t>
  </si>
  <si>
    <t>udledning i 2030</t>
  </si>
  <si>
    <t>udledning i 2050</t>
  </si>
  <si>
    <t>BAU - 2030</t>
  </si>
  <si>
    <t>BAU - 2050</t>
  </si>
  <si>
    <t xml:space="preserve">Kollektiv el- og varmeforsyning </t>
  </si>
  <si>
    <t>Affald og spildevand**</t>
  </si>
  <si>
    <t>Ton pr. indbygger</t>
  </si>
  <si>
    <t>* ikke brændsler, men fx opløsnings- og smørremidler, asfalt.</t>
  </si>
  <si>
    <t>**BAU-reduktion er indregnet i manko</t>
  </si>
  <si>
    <t>70% reduktionsmål i 2030 (1.000 tons)</t>
  </si>
  <si>
    <t>Manko i forhold til 70%-mål i 2030 (1.000 tons)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</si>
</sst>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 _k_r_._-;\-* #,##0\ _k_r_._-;_-* &quot;-&quot;\ _k_r_._-;_-@_-"/>
    <numFmt numFmtId="43" formatCode="_-* #,##0.00\ _k_r_._-;\-* #,##0.00\ _k_r_._-;_-* &quot;-&quot;??\ _k_r_._-;_-@_-"/>
    <numFmt numFmtId="164" formatCode="_-* #,##0.00_-;\-* #,##0.00_-;_-* &quot;-&quot;??_-;_-@_-"/>
    <numFmt numFmtId="165" formatCode="_ * #,##0.00_ ;_ * \-#,##0.00_ ;_ * &quot;-&quot;??_ ;_ @_ "/>
    <numFmt numFmtId="166" formatCode="0.0"/>
    <numFmt numFmtId="167" formatCode="#,##0.0"/>
    <numFmt numFmtId="168" formatCode="_-* #,##0.00\ _k_r_-;\-* #,##0.00\ _k_r_-;_-* &quot;-&quot;??\ _k_r_-;_-@_-"/>
    <numFmt numFmtId="169" formatCode="###,\ ###,##0;[Red]\-###,##0;&quot;-&quot;"/>
    <numFmt numFmtId="170" formatCode="_(* #,##0.0_);_(* \(#,##0.0\);_(* &quot;-&quot;??_);_(@_)"/>
    <numFmt numFmtId="171" formatCode="#,##0.000"/>
    <numFmt numFmtId="172" formatCode="0.0%"/>
    <numFmt numFmtId="173" formatCode="_(* #,##0.00_);_(* \(#,##0.00\);_(* &quot;-&quot;??_);_(@_)"/>
    <numFmt numFmtId="174" formatCode="_(* #,##0_);_(* \(#,##0\);_(* &quot;-&quot;??_);_(@_)"/>
    <numFmt numFmtId="175" formatCode="_(* #,##0.000_);_(* \(#,##0.000\);_(* &quot;-&quot;??_);_(@_)"/>
    <numFmt numFmtId="176" formatCode="#,##0.00000000"/>
    <numFmt numFmtId="177" formatCode="_ * #,##0.0_ ;_ * \-#,##0.0_ ;_ * &quot;-&quot;??_ ;_ @_ "/>
    <numFmt numFmtId="178" formatCode="_ * #,##0_ ;_ * \-#,##0_ ;_ * &quot;-&quot;??_ ;_ @_ "/>
    <numFmt numFmtId="179" formatCode="_ * #,##0.0000_ ;_ * \-#,##0.0000_ ;_ * &quot;-&quot;??_ ;_ @_ "/>
    <numFmt numFmtId="180" formatCode="0.00000"/>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Arial"/>
      <family val="2"/>
    </font>
    <font>
      <b/>
      <sz val="10"/>
      <name val="Arial"/>
      <family val="2"/>
    </font>
    <font>
      <sz val="10"/>
      <name val="Arial"/>
      <family val="2"/>
    </font>
    <font>
      <b/>
      <sz val="18"/>
      <name val="Arial"/>
      <family val="2"/>
    </font>
    <font>
      <b/>
      <vertAlign val="subscript"/>
      <sz val="10"/>
      <name val="Arial"/>
      <family val="2"/>
    </font>
    <font>
      <vertAlign val="subscript"/>
      <sz val="10"/>
      <name val="Arial"/>
      <family val="2"/>
    </font>
    <font>
      <sz val="14"/>
      <name val="Arial"/>
      <family val="2"/>
    </font>
    <font>
      <b/>
      <sz val="20"/>
      <name val="Arial"/>
      <family val="2"/>
    </font>
    <font>
      <b/>
      <sz val="12"/>
      <name val="Arial"/>
      <family val="2"/>
    </font>
    <font>
      <sz val="10"/>
      <color theme="0" tint="-0.249977111117893"/>
      <name val="Arial"/>
      <family val="2"/>
    </font>
    <font>
      <b/>
      <vertAlign val="subscript"/>
      <sz val="18"/>
      <name val="Arial"/>
      <family val="2"/>
    </font>
    <font>
      <sz val="10"/>
      <color theme="0"/>
      <name val="Arial"/>
      <family val="2"/>
    </font>
    <font>
      <sz val="9"/>
      <color indexed="81"/>
      <name val="Tahoma"/>
      <family val="2"/>
    </font>
    <font>
      <sz val="10"/>
      <name val="Arial"/>
      <family val="2"/>
    </font>
    <font>
      <b/>
      <sz val="9"/>
      <color indexed="81"/>
      <name val="Tahoma"/>
      <family val="2"/>
    </font>
    <font>
      <sz val="10"/>
      <name val="Courier"/>
      <family val="3"/>
    </font>
    <font>
      <sz val="10"/>
      <color rgb="FFFF0000"/>
      <name val="Arial"/>
      <family val="2"/>
    </font>
    <font>
      <b/>
      <sz val="36"/>
      <color rgb="FFFF0000"/>
      <name val="Arial"/>
      <family val="2"/>
    </font>
    <font>
      <sz val="11"/>
      <color rgb="FF006100"/>
      <name val="Calibri"/>
      <family val="2"/>
      <scheme val="minor"/>
    </font>
    <font>
      <sz val="11"/>
      <color rgb="FF9C0006"/>
      <name val="Calibri"/>
      <family val="2"/>
      <scheme val="minor"/>
    </font>
    <font>
      <sz val="10"/>
      <name val="Arial"/>
      <family val="2"/>
    </font>
    <font>
      <sz val="8"/>
      <name val="Arial"/>
      <family val="2"/>
    </font>
    <font>
      <u/>
      <sz val="10"/>
      <color theme="10"/>
      <name val="Arial"/>
      <family val="2"/>
    </font>
    <font>
      <sz val="10"/>
      <name val="Calibri"/>
      <family val="2"/>
      <scheme val="minor"/>
    </font>
    <font>
      <u/>
      <sz val="10"/>
      <name val="Arial"/>
      <family val="2"/>
    </font>
    <font>
      <sz val="10"/>
      <name val="Open Sans"/>
    </font>
    <font>
      <i/>
      <sz val="10"/>
      <name val="Arial"/>
      <family val="2"/>
    </font>
    <font>
      <sz val="11"/>
      <color rgb="FFFF0000"/>
      <name val="Calibri"/>
      <family val="2"/>
      <scheme val="minor"/>
    </font>
    <font>
      <b/>
      <sz val="11"/>
      <color theme="1"/>
      <name val="Calibri"/>
      <family val="2"/>
      <scheme val="minor"/>
    </font>
    <font>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4CCC4"/>
        <bgColor indexed="64"/>
      </patternFill>
    </fill>
    <fill>
      <patternFill patternType="solid">
        <fgColor rgb="FFC6EFCE"/>
      </patternFill>
    </fill>
    <fill>
      <patternFill patternType="solid">
        <fgColor rgb="FFFFC7CE"/>
      </patternFill>
    </fill>
    <fill>
      <patternFill patternType="solid">
        <fgColor theme="2" tint="-9.9978637043366805E-2"/>
        <bgColor indexed="64"/>
      </patternFill>
    </fill>
    <fill>
      <patternFill patternType="solid">
        <fgColor rgb="FF99CC33"/>
        <bgColor indexed="64"/>
      </patternFill>
    </fill>
    <fill>
      <patternFill patternType="solid">
        <fgColor rgb="FF92D050"/>
        <bgColor indexed="64"/>
      </patternFill>
    </fill>
    <fill>
      <patternFill patternType="solid">
        <fgColor rgb="FFFFFF00"/>
        <bgColor indexed="64"/>
      </patternFill>
    </fill>
    <fill>
      <patternFill patternType="solid">
        <fgColor rgb="FFE3DFD4"/>
        <bgColor indexed="64"/>
      </patternFill>
    </fill>
    <fill>
      <patternFill patternType="solid">
        <fgColor theme="8" tint="0.79998168889431442"/>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8"/>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54">
    <xf numFmtId="0" fontId="0" fillId="0" borderId="0"/>
    <xf numFmtId="0" fontId="11" fillId="0" borderId="0"/>
    <xf numFmtId="168"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5" fontId="22" fillId="0" borderId="0" applyFont="0" applyFill="0" applyBorder="0" applyAlignment="0" applyProtection="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7" fillId="0" borderId="0"/>
    <xf numFmtId="0" fontId="7" fillId="0" borderId="0"/>
    <xf numFmtId="9" fontId="8" fillId="0" borderId="0" applyFont="0" applyFill="0" applyBorder="0" applyAlignment="0" applyProtection="0"/>
    <xf numFmtId="0" fontId="6" fillId="0" borderId="0"/>
    <xf numFmtId="165" fontId="6" fillId="0" borderId="0" applyFont="0" applyFill="0" applyBorder="0" applyAlignment="0" applyProtection="0"/>
    <xf numFmtId="43" fontId="8" fillId="0" borderId="0" applyFont="0" applyFill="0" applyBorder="0" applyAlignment="0" applyProtection="0"/>
    <xf numFmtId="9" fontId="6" fillId="0" borderId="0" applyFont="0" applyFill="0" applyBorder="0" applyAlignment="0" applyProtection="0"/>
    <xf numFmtId="165" fontId="5" fillId="0" borderId="0" applyFont="0" applyFill="0" applyBorder="0" applyAlignment="0" applyProtection="0"/>
    <xf numFmtId="0" fontId="24" fillId="0" borderId="0">
      <alignment vertical="top"/>
    </xf>
    <xf numFmtId="43" fontId="8" fillId="0" borderId="0" applyFont="0" applyFill="0" applyBorder="0" applyAlignment="0" applyProtection="0"/>
    <xf numFmtId="0" fontId="4" fillId="0" borderId="0"/>
    <xf numFmtId="43"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7" fillId="6" borderId="0" applyNumberFormat="0" applyBorder="0" applyAlignment="0" applyProtection="0"/>
    <xf numFmtId="0" fontId="28" fillId="7" borderId="0" applyNumberFormat="0" applyBorder="0" applyAlignment="0" applyProtection="0"/>
    <xf numFmtId="9" fontId="29" fillId="0" borderId="0" applyFont="0" applyFill="0" applyBorder="0" applyAlignment="0" applyProtection="0"/>
    <xf numFmtId="0" fontId="3" fillId="0" borderId="0"/>
    <xf numFmtId="165" fontId="3"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31" fillId="0" borderId="0" applyNumberFormat="0" applyFill="0" applyBorder="0" applyAlignment="0" applyProtection="0"/>
  </cellStyleXfs>
  <cellXfs count="459">
    <xf numFmtId="0" fontId="0" fillId="0" borderId="0" xfId="0"/>
    <xf numFmtId="0" fontId="0" fillId="2" borderId="0" xfId="0" applyFill="1"/>
    <xf numFmtId="3" fontId="8" fillId="2" borderId="37" xfId="0" applyNumberFormat="1" applyFont="1" applyFill="1" applyBorder="1"/>
    <xf numFmtId="1" fontId="8" fillId="2" borderId="3" xfId="3" applyNumberFormat="1" applyFill="1" applyBorder="1"/>
    <xf numFmtId="1" fontId="8" fillId="2" borderId="0" xfId="3" applyNumberFormat="1" applyFill="1"/>
    <xf numFmtId="1" fontId="12" fillId="2" borderId="0" xfId="3" applyNumberFormat="1" applyFont="1" applyFill="1" applyAlignment="1">
      <alignment vertical="center"/>
    </xf>
    <xf numFmtId="0" fontId="8" fillId="2" borderId="0" xfId="3" applyFill="1"/>
    <xf numFmtId="1" fontId="8" fillId="2" borderId="7" xfId="3" applyNumberFormat="1" applyFill="1" applyBorder="1"/>
    <xf numFmtId="1" fontId="8" fillId="2" borderId="8" xfId="3" applyNumberFormat="1" applyFill="1" applyBorder="1"/>
    <xf numFmtId="0" fontId="8" fillId="2" borderId="0" xfId="3" applyFill="1" applyAlignment="1">
      <alignment textRotation="90" wrapText="1"/>
    </xf>
    <xf numFmtId="3" fontId="8" fillId="0" borderId="49" xfId="3" applyNumberFormat="1" applyFill="1" applyBorder="1"/>
    <xf numFmtId="169" fontId="8" fillId="2" borderId="0" xfId="3" quotePrefix="1" applyNumberFormat="1" applyFill="1"/>
    <xf numFmtId="3" fontId="8" fillId="0" borderId="22" xfId="3" applyNumberFormat="1" applyFill="1" applyBorder="1"/>
    <xf numFmtId="3" fontId="8" fillId="0" borderId="18" xfId="3" applyNumberFormat="1" applyFill="1" applyBorder="1"/>
    <xf numFmtId="0" fontId="8" fillId="0" borderId="22" xfId="3" applyFill="1" applyBorder="1"/>
    <xf numFmtId="166" fontId="8" fillId="2" borderId="0" xfId="3" applyNumberFormat="1" applyFill="1"/>
    <xf numFmtId="1" fontId="8" fillId="0" borderId="0" xfId="3" applyNumberFormat="1" applyFill="1"/>
    <xf numFmtId="3" fontId="8" fillId="0" borderId="22" xfId="3" applyNumberFormat="1" applyFont="1" applyFill="1" applyBorder="1"/>
    <xf numFmtId="0" fontId="8" fillId="0" borderId="0" xfId="3" applyFill="1"/>
    <xf numFmtId="3" fontId="8" fillId="2" borderId="0" xfId="3" applyNumberFormat="1" applyFill="1"/>
    <xf numFmtId="3" fontId="10" fillId="2" borderId="11" xfId="3" applyNumberFormat="1" applyFont="1" applyFill="1" applyBorder="1"/>
    <xf numFmtId="3" fontId="10" fillId="2" borderId="20" xfId="3" applyNumberFormat="1" applyFont="1" applyFill="1" applyBorder="1"/>
    <xf numFmtId="0" fontId="9" fillId="2" borderId="0" xfId="3" applyFont="1" applyFill="1"/>
    <xf numFmtId="1" fontId="8" fillId="2" borderId="12" xfId="3" applyNumberFormat="1" applyFill="1" applyBorder="1" applyAlignment="1">
      <alignment horizontal="left" vertical="center"/>
    </xf>
    <xf numFmtId="1" fontId="8" fillId="2" borderId="0" xfId="3" applyNumberFormat="1" applyFill="1" applyAlignment="1">
      <alignment vertical="center"/>
    </xf>
    <xf numFmtId="0" fontId="8" fillId="2" borderId="0" xfId="3" applyFill="1" applyAlignment="1">
      <alignment vertical="center"/>
    </xf>
    <xf numFmtId="0" fontId="8" fillId="3" borderId="0" xfId="3" applyFill="1"/>
    <xf numFmtId="0" fontId="12" fillId="0" borderId="0" xfId="3" applyFont="1" applyFill="1" applyAlignment="1">
      <alignment horizontal="left"/>
    </xf>
    <xf numFmtId="0" fontId="8" fillId="0" borderId="0" xfId="3" applyFont="1" applyFill="1"/>
    <xf numFmtId="0" fontId="12" fillId="3" borderId="0" xfId="3" applyFont="1" applyFill="1" applyBorder="1" applyAlignment="1">
      <alignment vertical="center"/>
    </xf>
    <xf numFmtId="0" fontId="10" fillId="0" borderId="22" xfId="3" applyFont="1" applyFill="1" applyBorder="1"/>
    <xf numFmtId="0" fontId="10" fillId="0" borderId="0" xfId="3" applyFont="1" applyFill="1" applyBorder="1"/>
    <xf numFmtId="0" fontId="8" fillId="0" borderId="22" xfId="3" applyFont="1" applyFill="1" applyBorder="1"/>
    <xf numFmtId="170" fontId="8" fillId="0" borderId="22" xfId="3" applyNumberFormat="1" applyFill="1" applyBorder="1"/>
    <xf numFmtId="0" fontId="8" fillId="0" borderId="0" xfId="3" applyFont="1" applyFill="1" applyBorder="1"/>
    <xf numFmtId="0" fontId="8" fillId="0" borderId="0" xfId="3" applyFill="1" applyBorder="1"/>
    <xf numFmtId="1" fontId="10" fillId="0" borderId="22" xfId="3" applyNumberFormat="1" applyFont="1" applyFill="1" applyBorder="1"/>
    <xf numFmtId="0" fontId="10" fillId="0" borderId="22" xfId="3" applyFont="1" applyFill="1" applyBorder="1" applyAlignment="1">
      <alignment horizontal="center"/>
    </xf>
    <xf numFmtId="1" fontId="8" fillId="3" borderId="0" xfId="3" applyNumberFormat="1" applyFill="1"/>
    <xf numFmtId="0" fontId="8" fillId="0" borderId="49" xfId="3" applyFont="1" applyFill="1" applyBorder="1"/>
    <xf numFmtId="0" fontId="8" fillId="3" borderId="0" xfId="3" applyFont="1" applyFill="1"/>
    <xf numFmtId="0" fontId="18" fillId="3" borderId="0" xfId="3" applyFont="1" applyFill="1"/>
    <xf numFmtId="0" fontId="10" fillId="4" borderId="33" xfId="3" applyFont="1" applyFill="1" applyBorder="1"/>
    <xf numFmtId="3" fontId="10" fillId="4" borderId="33" xfId="3" applyNumberFormat="1" applyFont="1" applyFill="1" applyBorder="1"/>
    <xf numFmtId="0" fontId="8" fillId="0" borderId="18" xfId="3" applyFont="1" applyFill="1" applyBorder="1"/>
    <xf numFmtId="172" fontId="18" fillId="3" borderId="0" xfId="4" applyNumberFormat="1" applyFont="1" applyFill="1"/>
    <xf numFmtId="3" fontId="8" fillId="0" borderId="0" xfId="3" applyNumberFormat="1" applyFill="1" applyBorder="1"/>
    <xf numFmtId="174" fontId="8" fillId="0" borderId="0" xfId="5" applyNumberFormat="1" applyFont="1" applyFill="1" applyBorder="1"/>
    <xf numFmtId="174" fontId="8" fillId="0" borderId="0" xfId="5" applyNumberFormat="1" applyFont="1" applyFill="1"/>
    <xf numFmtId="175" fontId="10" fillId="0" borderId="0" xfId="5" applyNumberFormat="1" applyFont="1" applyFill="1" applyBorder="1"/>
    <xf numFmtId="3" fontId="10" fillId="0" borderId="0" xfId="3" applyNumberFormat="1" applyFont="1" applyFill="1" applyBorder="1"/>
    <xf numFmtId="0" fontId="10" fillId="0" borderId="49" xfId="3" applyFont="1" applyFill="1" applyBorder="1" applyAlignment="1">
      <alignment horizontal="center"/>
    </xf>
    <xf numFmtId="0" fontId="8" fillId="0" borderId="57" xfId="3" applyFill="1" applyBorder="1"/>
    <xf numFmtId="0" fontId="8" fillId="0" borderId="57" xfId="3" applyFont="1" applyFill="1" applyBorder="1"/>
    <xf numFmtId="3" fontId="8" fillId="0" borderId="49" xfId="3" applyNumberFormat="1" applyFont="1" applyFill="1" applyBorder="1"/>
    <xf numFmtId="0" fontId="10" fillId="4" borderId="22" xfId="3" applyFont="1" applyFill="1" applyBorder="1"/>
    <xf numFmtId="3" fontId="10" fillId="4" borderId="22" xfId="3" applyNumberFormat="1" applyFont="1" applyFill="1" applyBorder="1"/>
    <xf numFmtId="3" fontId="10" fillId="4" borderId="49" xfId="3" applyNumberFormat="1" applyFont="1" applyFill="1" applyBorder="1"/>
    <xf numFmtId="174" fontId="8" fillId="0" borderId="0" xfId="3" applyNumberFormat="1" applyFill="1"/>
    <xf numFmtId="0" fontId="10" fillId="0" borderId="0" xfId="3" applyFont="1" applyFill="1"/>
    <xf numFmtId="166" fontId="8" fillId="0" borderId="0" xfId="3" applyNumberFormat="1" applyFill="1"/>
    <xf numFmtId="0" fontId="10" fillId="0" borderId="57" xfId="3" applyFont="1" applyFill="1" applyBorder="1"/>
    <xf numFmtId="0" fontId="8" fillId="0" borderId="49" xfId="3" applyFill="1" applyBorder="1"/>
    <xf numFmtId="0" fontId="10" fillId="0" borderId="22" xfId="3" applyFont="1" applyFill="1" applyBorder="1" applyAlignment="1">
      <alignment horizontal="right"/>
    </xf>
    <xf numFmtId="0" fontId="8" fillId="0" borderId="0" xfId="3" applyFont="1" applyFill="1" applyBorder="1" applyAlignment="1">
      <alignment vertical="center"/>
    </xf>
    <xf numFmtId="0" fontId="8" fillId="0" borderId="0" xfId="3" applyFont="1" applyFill="1" applyBorder="1" applyAlignment="1">
      <alignment horizontal="right"/>
    </xf>
    <xf numFmtId="49" fontId="12" fillId="3" borderId="0" xfId="3" applyNumberFormat="1" applyFont="1" applyFill="1" applyBorder="1" applyAlignment="1">
      <alignment horizontal="left" vertical="center"/>
    </xf>
    <xf numFmtId="3" fontId="10" fillId="3" borderId="0" xfId="3" applyNumberFormat="1" applyFont="1" applyFill="1" applyBorder="1"/>
    <xf numFmtId="3" fontId="0" fillId="0" borderId="22" xfId="5" applyNumberFormat="1" applyFont="1" applyFill="1" applyBorder="1"/>
    <xf numFmtId="0" fontId="10" fillId="4" borderId="57" xfId="3" applyFont="1" applyFill="1" applyBorder="1"/>
    <xf numFmtId="0" fontId="10" fillId="0" borderId="57" xfId="3" applyFont="1" applyFill="1" applyBorder="1" applyAlignment="1">
      <alignment horizontal="center"/>
    </xf>
    <xf numFmtId="0" fontId="10" fillId="4" borderId="22" xfId="3" applyFont="1" applyFill="1" applyBorder="1" applyAlignment="1">
      <alignment horizontal="center"/>
    </xf>
    <xf numFmtId="3" fontId="8" fillId="4" borderId="22" xfId="3" applyNumberFormat="1" applyFill="1" applyBorder="1"/>
    <xf numFmtId="3" fontId="8" fillId="0" borderId="57" xfId="3" applyNumberFormat="1" applyFill="1" applyBorder="1"/>
    <xf numFmtId="3" fontId="10" fillId="4" borderId="57" xfId="3" applyNumberFormat="1" applyFont="1" applyFill="1" applyBorder="1"/>
    <xf numFmtId="171" fontId="10" fillId="0" borderId="0" xfId="3" applyNumberFormat="1" applyFont="1" applyFill="1" applyBorder="1"/>
    <xf numFmtId="0" fontId="10" fillId="3" borderId="0" xfId="3" applyFont="1" applyFill="1" applyBorder="1"/>
    <xf numFmtId="0" fontId="10" fillId="0" borderId="22" xfId="3" applyFont="1" applyFill="1" applyBorder="1" applyAlignment="1">
      <alignment horizontal="left"/>
    </xf>
    <xf numFmtId="1" fontId="10" fillId="0" borderId="22" xfId="3" applyNumberFormat="1" applyFont="1" applyFill="1" applyBorder="1" applyAlignment="1">
      <alignment horizontal="left"/>
    </xf>
    <xf numFmtId="3" fontId="8" fillId="3" borderId="0" xfId="3" applyNumberFormat="1" applyFill="1" applyBorder="1"/>
    <xf numFmtId="3" fontId="20" fillId="0" borderId="0" xfId="3" applyNumberFormat="1" applyFont="1" applyFill="1" applyBorder="1"/>
    <xf numFmtId="3" fontId="8" fillId="0" borderId="0" xfId="3" applyNumberFormat="1" applyFill="1"/>
    <xf numFmtId="0" fontId="8" fillId="3" borderId="0" xfId="3" applyFill="1" applyBorder="1"/>
    <xf numFmtId="1" fontId="8" fillId="0" borderId="57" xfId="3" applyNumberFormat="1" applyFill="1" applyBorder="1"/>
    <xf numFmtId="1" fontId="8" fillId="0" borderId="22" xfId="3" applyNumberFormat="1" applyFill="1" applyBorder="1"/>
    <xf numFmtId="1" fontId="8" fillId="0" borderId="0" xfId="3" applyNumberFormat="1" applyFill="1" applyBorder="1"/>
    <xf numFmtId="1" fontId="8" fillId="3" borderId="0" xfId="3" applyNumberFormat="1" applyFont="1" applyFill="1" applyBorder="1"/>
    <xf numFmtId="174" fontId="0" fillId="3" borderId="0" xfId="5" applyNumberFormat="1" applyFont="1" applyFill="1" applyBorder="1"/>
    <xf numFmtId="1" fontId="8" fillId="0" borderId="0" xfId="3" applyNumberFormat="1" applyFont="1" applyFill="1" applyBorder="1"/>
    <xf numFmtId="2" fontId="8" fillId="0" borderId="0" xfId="5" applyNumberFormat="1" applyFill="1"/>
    <xf numFmtId="176" fontId="8" fillId="0" borderId="0" xfId="3" applyNumberFormat="1" applyFill="1"/>
    <xf numFmtId="178" fontId="8" fillId="0" borderId="0" xfId="7" applyNumberFormat="1" applyFont="1" applyFill="1"/>
    <xf numFmtId="178" fontId="8" fillId="0" borderId="0" xfId="7" applyNumberFormat="1" applyFont="1" applyFill="1" applyBorder="1"/>
    <xf numFmtId="167" fontId="8" fillId="2" borderId="58" xfId="3" applyNumberFormat="1" applyFill="1" applyBorder="1"/>
    <xf numFmtId="3" fontId="8" fillId="2" borderId="38" xfId="0" applyNumberFormat="1" applyFont="1" applyFill="1" applyBorder="1"/>
    <xf numFmtId="1" fontId="8" fillId="0" borderId="57" xfId="3" applyNumberFormat="1" applyFont="1" applyFill="1" applyBorder="1"/>
    <xf numFmtId="3" fontId="8" fillId="5" borderId="24" xfId="0" applyNumberFormat="1" applyFont="1" applyFill="1" applyBorder="1" applyAlignment="1">
      <alignment horizontal="left" indent="1"/>
    </xf>
    <xf numFmtId="177" fontId="8" fillId="0" borderId="0" xfId="7" applyNumberFormat="1" applyFont="1" applyFill="1"/>
    <xf numFmtId="165" fontId="8" fillId="0" borderId="0" xfId="7" applyNumberFormat="1" applyFont="1" applyFill="1"/>
    <xf numFmtId="43" fontId="8" fillId="0" borderId="0" xfId="3" applyNumberFormat="1" applyFill="1"/>
    <xf numFmtId="177" fontId="8" fillId="0" borderId="0" xfId="7" applyNumberFormat="1" applyFont="1" applyFill="1" applyBorder="1"/>
    <xf numFmtId="0" fontId="25" fillId="0" borderId="0" xfId="3" applyFont="1" applyFill="1"/>
    <xf numFmtId="167" fontId="8" fillId="0" borderId="0" xfId="3" applyNumberFormat="1" applyFill="1"/>
    <xf numFmtId="1" fontId="8" fillId="0" borderId="0" xfId="3" applyNumberFormat="1" applyFont="1" applyFill="1"/>
    <xf numFmtId="177" fontId="8" fillId="0" borderId="0" xfId="3" applyNumberFormat="1" applyFont="1" applyFill="1"/>
    <xf numFmtId="179" fontId="8" fillId="0" borderId="0" xfId="7" applyNumberFormat="1" applyFont="1" applyFill="1"/>
    <xf numFmtId="3" fontId="8" fillId="0" borderId="22" xfId="3" quotePrefix="1" applyNumberFormat="1" applyFill="1" applyBorder="1"/>
    <xf numFmtId="180" fontId="8" fillId="0" borderId="0" xfId="3" applyNumberFormat="1" applyFill="1"/>
    <xf numFmtId="3" fontId="10" fillId="2" borderId="24" xfId="3" applyNumberFormat="1" applyFont="1" applyFill="1" applyBorder="1"/>
    <xf numFmtId="3" fontId="10" fillId="2" borderId="31" xfId="3" applyNumberFormat="1" applyFont="1" applyFill="1" applyBorder="1"/>
    <xf numFmtId="3" fontId="8" fillId="0" borderId="22" xfId="37" applyNumberFormat="1" applyFont="1" applyFill="1" applyBorder="1"/>
    <xf numFmtId="3" fontId="8" fillId="0" borderId="49" xfId="37" applyNumberFormat="1" applyFont="1" applyFill="1" applyBorder="1"/>
    <xf numFmtId="3" fontId="8" fillId="0" borderId="23" xfId="37" applyNumberFormat="1" applyFont="1" applyFill="1" applyBorder="1"/>
    <xf numFmtId="3" fontId="8" fillId="0" borderId="21" xfId="37" applyNumberFormat="1" applyFont="1" applyFill="1" applyBorder="1"/>
    <xf numFmtId="3" fontId="8" fillId="0" borderId="22" xfId="38" applyNumberFormat="1" applyFont="1" applyFill="1" applyBorder="1"/>
    <xf numFmtId="1" fontId="8" fillId="0" borderId="22" xfId="37" applyNumberFormat="1" applyFont="1" applyFill="1" applyBorder="1"/>
    <xf numFmtId="1" fontId="8" fillId="0" borderId="41" xfId="37" applyNumberFormat="1" applyFont="1" applyFill="1" applyBorder="1"/>
    <xf numFmtId="3" fontId="8" fillId="2" borderId="25" xfId="0" applyNumberFormat="1" applyFont="1" applyFill="1" applyBorder="1"/>
    <xf numFmtId="167" fontId="8" fillId="2" borderId="59" xfId="0" applyNumberFormat="1" applyFont="1" applyFill="1" applyBorder="1"/>
    <xf numFmtId="3" fontId="8" fillId="2" borderId="39" xfId="0" applyNumberFormat="1" applyFont="1" applyFill="1" applyBorder="1"/>
    <xf numFmtId="1" fontId="8" fillId="2" borderId="2" xfId="3" applyNumberFormat="1" applyFill="1" applyBorder="1"/>
    <xf numFmtId="1" fontId="8" fillId="2" borderId="4" xfId="3" applyNumberFormat="1" applyFill="1" applyBorder="1"/>
    <xf numFmtId="1" fontId="8" fillId="0" borderId="0" xfId="37" applyNumberFormat="1" applyFont="1" applyFill="1" applyAlignment="1">
      <alignment horizontal="right"/>
    </xf>
    <xf numFmtId="1" fontId="8" fillId="2" borderId="5" xfId="3" applyNumberFormat="1" applyFill="1" applyBorder="1"/>
    <xf numFmtId="1" fontId="28" fillId="0" borderId="0" xfId="38" applyNumberFormat="1" applyFill="1"/>
    <xf numFmtId="1" fontId="8" fillId="2" borderId="6" xfId="3" applyNumberFormat="1" applyFill="1" applyBorder="1"/>
    <xf numFmtId="1" fontId="17" fillId="2" borderId="45" xfId="3" applyNumberFormat="1" applyFont="1" applyFill="1" applyBorder="1"/>
    <xf numFmtId="49" fontId="8" fillId="2" borderId="42" xfId="3" applyNumberFormat="1" applyFill="1" applyBorder="1" applyAlignment="1">
      <alignment horizontal="center" textRotation="90" wrapText="1"/>
    </xf>
    <xf numFmtId="49" fontId="8" fillId="2" borderId="43" xfId="3" applyNumberFormat="1" applyFill="1" applyBorder="1" applyAlignment="1">
      <alignment horizontal="center" textRotation="90" wrapText="1"/>
    </xf>
    <xf numFmtId="49" fontId="8" fillId="2" borderId="44" xfId="3" applyNumberFormat="1" applyFill="1" applyBorder="1" applyAlignment="1">
      <alignment horizontal="center" textRotation="90" wrapText="1"/>
    </xf>
    <xf numFmtId="49" fontId="26" fillId="0" borderId="46" xfId="3" applyNumberFormat="1" applyFont="1" applyBorder="1" applyAlignment="1">
      <alignment horizontal="center" wrapText="1"/>
    </xf>
    <xf numFmtId="49" fontId="8" fillId="2" borderId="42" xfId="3" applyNumberFormat="1" applyFill="1" applyBorder="1" applyAlignment="1">
      <alignment horizontal="center" textRotation="90" wrapText="1" readingOrder="1"/>
    </xf>
    <xf numFmtId="49" fontId="10" fillId="2" borderId="46" xfId="3" applyNumberFormat="1" applyFont="1" applyFill="1" applyBorder="1" applyAlignment="1">
      <alignment horizontal="center" textRotation="90" wrapText="1"/>
    </xf>
    <xf numFmtId="49" fontId="8" fillId="2" borderId="47" xfId="3" applyNumberFormat="1" applyFill="1" applyBorder="1" applyAlignment="1">
      <alignment horizontal="center" textRotation="90" wrapText="1"/>
    </xf>
    <xf numFmtId="49" fontId="8" fillId="2" borderId="48" xfId="3" applyNumberFormat="1" applyFill="1" applyBorder="1" applyAlignment="1">
      <alignment horizontal="center" textRotation="90" wrapText="1"/>
    </xf>
    <xf numFmtId="3" fontId="8" fillId="2" borderId="21" xfId="3" applyNumberFormat="1" applyFill="1" applyBorder="1"/>
    <xf numFmtId="3" fontId="8" fillId="2" borderId="22" xfId="3" applyNumberFormat="1" applyFill="1" applyBorder="1"/>
    <xf numFmtId="3" fontId="8" fillId="2" borderId="23" xfId="3" applyNumberFormat="1" applyFill="1" applyBorder="1"/>
    <xf numFmtId="3" fontId="8" fillId="5" borderId="24" xfId="3" applyNumberFormat="1" applyFill="1" applyBorder="1" applyAlignment="1">
      <alignment horizontal="left" indent="1"/>
    </xf>
    <xf numFmtId="3" fontId="8" fillId="0" borderId="23" xfId="3" applyNumberFormat="1" applyBorder="1"/>
    <xf numFmtId="3" fontId="8" fillId="0" borderId="21" xfId="3" applyNumberFormat="1" applyBorder="1"/>
    <xf numFmtId="3" fontId="10" fillId="0" borderId="24" xfId="3" applyNumberFormat="1" applyFont="1" applyBorder="1"/>
    <xf numFmtId="3" fontId="8" fillId="0" borderId="22" xfId="0" applyNumberFormat="1" applyFont="1" applyBorder="1"/>
    <xf numFmtId="3" fontId="8" fillId="0" borderId="23" xfId="0" applyNumberFormat="1" applyFont="1" applyBorder="1"/>
    <xf numFmtId="3" fontId="8" fillId="0" borderId="22" xfId="3" applyNumberFormat="1" applyBorder="1"/>
    <xf numFmtId="3" fontId="8" fillId="0" borderId="49" xfId="3" applyNumberFormat="1" applyBorder="1"/>
    <xf numFmtId="3" fontId="8" fillId="0" borderId="17" xfId="3" applyNumberFormat="1" applyBorder="1"/>
    <xf numFmtId="3" fontId="8" fillId="2" borderId="18" xfId="3" applyNumberFormat="1" applyFill="1" applyBorder="1"/>
    <xf numFmtId="3" fontId="8" fillId="0" borderId="18" xfId="3" applyNumberFormat="1" applyBorder="1"/>
    <xf numFmtId="3" fontId="8" fillId="5" borderId="53" xfId="3" applyNumberFormat="1" applyFill="1" applyBorder="1" applyAlignment="1">
      <alignment horizontal="left" indent="1"/>
    </xf>
    <xf numFmtId="3" fontId="8" fillId="2" borderId="17" xfId="3" applyNumberFormat="1" applyFill="1" applyBorder="1"/>
    <xf numFmtId="3" fontId="8" fillId="2" borderId="19" xfId="3" applyNumberFormat="1" applyFill="1" applyBorder="1"/>
    <xf numFmtId="3" fontId="8" fillId="0" borderId="52" xfId="0" applyNumberFormat="1" applyFont="1" applyBorder="1"/>
    <xf numFmtId="3" fontId="8" fillId="2" borderId="49" xfId="3" applyNumberFormat="1" applyFill="1" applyBorder="1"/>
    <xf numFmtId="3" fontId="8" fillId="2" borderId="49" xfId="0" applyNumberFormat="1" applyFont="1" applyFill="1" applyBorder="1"/>
    <xf numFmtId="3" fontId="8" fillId="0" borderId="49" xfId="0" applyNumberFormat="1" applyFont="1" applyBorder="1"/>
    <xf numFmtId="3" fontId="8" fillId="0" borderId="21" xfId="0" applyNumberFormat="1" applyFont="1" applyBorder="1"/>
    <xf numFmtId="3" fontId="8" fillId="2" borderId="21" xfId="0" applyNumberFormat="1" applyFont="1" applyFill="1" applyBorder="1"/>
    <xf numFmtId="3" fontId="8" fillId="2" borderId="23" xfId="0" applyNumberFormat="1" applyFont="1" applyFill="1" applyBorder="1"/>
    <xf numFmtId="3" fontId="10" fillId="2" borderId="24" xfId="0" applyNumberFormat="1" applyFont="1" applyFill="1" applyBorder="1"/>
    <xf numFmtId="1" fontId="8" fillId="2" borderId="22" xfId="0" applyNumberFormat="1" applyFont="1" applyFill="1" applyBorder="1"/>
    <xf numFmtId="1" fontId="8" fillId="0" borderId="22" xfId="0" applyNumberFormat="1" applyFont="1" applyBorder="1"/>
    <xf numFmtId="1" fontId="8" fillId="0" borderId="0" xfId="0" applyNumberFormat="1" applyFont="1"/>
    <xf numFmtId="3" fontId="8" fillId="2" borderId="22" xfId="0" applyNumberFormat="1" applyFont="1" applyFill="1" applyBorder="1"/>
    <xf numFmtId="167" fontId="8" fillId="0" borderId="23" xfId="3" applyNumberFormat="1" applyBorder="1"/>
    <xf numFmtId="167" fontId="8" fillId="0" borderId="21" xfId="3" applyNumberFormat="1" applyBorder="1"/>
    <xf numFmtId="0" fontId="8" fillId="0" borderId="0" xfId="0" applyFont="1"/>
    <xf numFmtId="3" fontId="8" fillId="5" borderId="25" xfId="3" applyNumberFormat="1" applyFill="1" applyBorder="1" applyAlignment="1">
      <alignment horizontal="left" indent="1"/>
    </xf>
    <xf numFmtId="1" fontId="8" fillId="2" borderId="22" xfId="3" applyNumberFormat="1" applyFill="1" applyBorder="1"/>
    <xf numFmtId="1" fontId="8" fillId="0" borderId="22" xfId="3" applyNumberFormat="1" applyBorder="1"/>
    <xf numFmtId="1" fontId="8" fillId="2" borderId="0" xfId="0" applyNumberFormat="1" applyFont="1" applyFill="1"/>
    <xf numFmtId="3" fontId="0" fillId="2" borderId="23" xfId="0" applyNumberFormat="1" applyFill="1" applyBorder="1"/>
    <xf numFmtId="3" fontId="8" fillId="0" borderId="0" xfId="0" applyNumberFormat="1" applyFont="1"/>
    <xf numFmtId="3" fontId="8" fillId="2" borderId="26" xfId="3" applyNumberFormat="1" applyFill="1" applyBorder="1"/>
    <xf numFmtId="3" fontId="8" fillId="2" borderId="27" xfId="3" applyNumberFormat="1" applyFill="1" applyBorder="1"/>
    <xf numFmtId="3" fontId="8" fillId="2" borderId="28" xfId="3" applyNumberFormat="1" applyFill="1" applyBorder="1"/>
    <xf numFmtId="3" fontId="8" fillId="0" borderId="28" xfId="3" applyNumberFormat="1" applyBorder="1"/>
    <xf numFmtId="3" fontId="8" fillId="5" borderId="29" xfId="3" applyNumberFormat="1" applyFill="1" applyBorder="1" applyAlignment="1">
      <alignment horizontal="left" indent="1"/>
    </xf>
    <xf numFmtId="3" fontId="8" fillId="2" borderId="30" xfId="3" applyNumberFormat="1" applyFill="1" applyBorder="1"/>
    <xf numFmtId="3" fontId="8" fillId="0" borderId="30" xfId="3" applyNumberFormat="1" applyBorder="1"/>
    <xf numFmtId="3" fontId="8" fillId="2" borderId="50" xfId="3" applyNumberFormat="1" applyFill="1" applyBorder="1"/>
    <xf numFmtId="3" fontId="8" fillId="5" borderId="31" xfId="3" applyNumberFormat="1" applyFill="1" applyBorder="1" applyAlignment="1">
      <alignment horizontal="left" indent="1"/>
    </xf>
    <xf numFmtId="3" fontId="8" fillId="2" borderId="32" xfId="3" applyNumberFormat="1" applyFill="1" applyBorder="1"/>
    <xf numFmtId="3" fontId="8" fillId="2" borderId="33" xfId="3" applyNumberFormat="1" applyFill="1" applyBorder="1"/>
    <xf numFmtId="3" fontId="8" fillId="2" borderId="34" xfId="3" applyNumberFormat="1" applyFill="1" applyBorder="1"/>
    <xf numFmtId="3" fontId="8" fillId="2" borderId="51" xfId="3" applyNumberFormat="1" applyFill="1" applyBorder="1"/>
    <xf numFmtId="3" fontId="8" fillId="2" borderId="1" xfId="3" applyNumberFormat="1" applyFill="1" applyBorder="1"/>
    <xf numFmtId="3" fontId="8" fillId="2" borderId="13" xfId="3" applyNumberFormat="1" applyFill="1" applyBorder="1"/>
    <xf numFmtId="3" fontId="8" fillId="2" borderId="14" xfId="3" applyNumberFormat="1" applyFill="1" applyBorder="1"/>
    <xf numFmtId="3" fontId="8" fillId="2" borderId="10" xfId="3" applyNumberFormat="1" applyFill="1" applyBorder="1"/>
    <xf numFmtId="3" fontId="8" fillId="2" borderId="15" xfId="3" applyNumberFormat="1" applyFill="1" applyBorder="1"/>
    <xf numFmtId="167" fontId="8" fillId="2" borderId="35" xfId="3" applyNumberFormat="1" applyFill="1" applyBorder="1"/>
    <xf numFmtId="3" fontId="8" fillId="2" borderId="35" xfId="3" applyNumberFormat="1" applyFill="1" applyBorder="1"/>
    <xf numFmtId="3" fontId="8" fillId="2" borderId="36" xfId="3" applyNumberFormat="1" applyFill="1" applyBorder="1"/>
    <xf numFmtId="1" fontId="8" fillId="2" borderId="54" xfId="4" applyNumberFormat="1" applyFill="1" applyBorder="1" applyAlignment="1">
      <alignment horizontal="center" textRotation="90"/>
    </xf>
    <xf numFmtId="1" fontId="8" fillId="2" borderId="42" xfId="3" applyNumberFormat="1" applyFill="1" applyBorder="1" applyAlignment="1">
      <alignment horizontal="center" textRotation="90"/>
    </xf>
    <xf numFmtId="1" fontId="8" fillId="0" borderId="13" xfId="3" applyNumberFormat="1" applyBorder="1" applyAlignment="1">
      <alignment vertical="center"/>
    </xf>
    <xf numFmtId="1" fontId="8" fillId="2" borderId="13" xfId="3" applyNumberFormat="1" applyFill="1" applyBorder="1" applyAlignment="1">
      <alignment vertical="center"/>
    </xf>
    <xf numFmtId="1" fontId="8" fillId="2" borderId="16" xfId="3" applyNumberFormat="1" applyFill="1" applyBorder="1" applyAlignment="1">
      <alignment vertical="center"/>
    </xf>
    <xf numFmtId="1" fontId="8" fillId="0" borderId="16" xfId="3" applyNumberFormat="1" applyBorder="1" applyAlignment="1">
      <alignment vertical="center"/>
    </xf>
    <xf numFmtId="1" fontId="8" fillId="2" borderId="9" xfId="3" applyNumberFormat="1" applyFill="1" applyBorder="1" applyAlignment="1">
      <alignment horizontal="left" vertical="center"/>
    </xf>
    <xf numFmtId="1" fontId="17" fillId="2" borderId="45" xfId="3" applyNumberFormat="1" applyFont="1" applyFill="1" applyBorder="1" applyAlignment="1">
      <alignment horizontal="center"/>
    </xf>
    <xf numFmtId="178" fontId="8" fillId="2" borderId="0" xfId="7" applyNumberFormat="1" applyFont="1" applyFill="1"/>
    <xf numFmtId="178" fontId="8" fillId="2" borderId="0" xfId="3" applyNumberFormat="1" applyFill="1"/>
    <xf numFmtId="1" fontId="12" fillId="0" borderId="0" xfId="3" applyNumberFormat="1" applyFont="1" applyFill="1" applyAlignment="1">
      <alignment vertical="center"/>
    </xf>
    <xf numFmtId="1" fontId="17" fillId="0" borderId="45" xfId="3" applyNumberFormat="1" applyFont="1" applyFill="1" applyBorder="1"/>
    <xf numFmtId="49" fontId="8" fillId="0" borderId="42" xfId="3" applyNumberFormat="1" applyFill="1" applyBorder="1" applyAlignment="1">
      <alignment horizontal="center" textRotation="90" wrapText="1" readingOrder="1"/>
    </xf>
    <xf numFmtId="49" fontId="8" fillId="0" borderId="43" xfId="3" applyNumberFormat="1" applyFill="1" applyBorder="1" applyAlignment="1">
      <alignment horizontal="center" textRotation="90" wrapText="1"/>
    </xf>
    <xf numFmtId="49" fontId="8" fillId="0" borderId="44" xfId="3" applyNumberFormat="1" applyFill="1" applyBorder="1" applyAlignment="1">
      <alignment horizontal="center" textRotation="90" wrapText="1"/>
    </xf>
    <xf numFmtId="49" fontId="8" fillId="0" borderId="42" xfId="3" applyNumberFormat="1" applyFill="1" applyBorder="1" applyAlignment="1">
      <alignment horizontal="center" textRotation="90" wrapText="1"/>
    </xf>
    <xf numFmtId="49" fontId="10" fillId="0" borderId="46" xfId="3" applyNumberFormat="1" applyFont="1" applyFill="1" applyBorder="1" applyAlignment="1">
      <alignment horizontal="center" textRotation="90" wrapText="1"/>
    </xf>
    <xf numFmtId="49" fontId="8" fillId="0" borderId="47" xfId="3" applyNumberFormat="1" applyFill="1" applyBorder="1" applyAlignment="1">
      <alignment horizontal="center" textRotation="90" wrapText="1"/>
    </xf>
    <xf numFmtId="49" fontId="8" fillId="0" borderId="48" xfId="3" applyNumberFormat="1" applyFill="1" applyBorder="1" applyAlignment="1">
      <alignment horizontal="center" textRotation="90" wrapText="1"/>
    </xf>
    <xf numFmtId="3" fontId="8" fillId="0" borderId="22" xfId="0" applyNumberFormat="1" applyFont="1" applyFill="1" applyBorder="1"/>
    <xf numFmtId="3" fontId="8" fillId="0" borderId="17" xfId="3" applyNumberFormat="1" applyFill="1" applyBorder="1"/>
    <xf numFmtId="3" fontId="8" fillId="0" borderId="49" xfId="0" applyNumberFormat="1" applyFont="1" applyFill="1" applyBorder="1"/>
    <xf numFmtId="3" fontId="8" fillId="0" borderId="27" xfId="3" applyNumberFormat="1" applyFill="1" applyBorder="1"/>
    <xf numFmtId="167" fontId="8" fillId="0" borderId="35" xfId="3" applyNumberFormat="1" applyFill="1" applyBorder="1"/>
    <xf numFmtId="3" fontId="8" fillId="0" borderId="35" xfId="3" applyNumberFormat="1" applyFill="1" applyBorder="1"/>
    <xf numFmtId="3" fontId="8" fillId="0" borderId="36" xfId="3" applyNumberFormat="1" applyFill="1" applyBorder="1"/>
    <xf numFmtId="167" fontId="8" fillId="0" borderId="58" xfId="3" applyNumberFormat="1" applyFill="1" applyBorder="1"/>
    <xf numFmtId="3" fontId="8" fillId="0" borderId="37" xfId="0" applyNumberFormat="1" applyFont="1" applyFill="1" applyBorder="1"/>
    <xf numFmtId="3" fontId="8" fillId="0" borderId="25" xfId="0" applyNumberFormat="1" applyFont="1" applyFill="1" applyBorder="1"/>
    <xf numFmtId="1" fontId="8" fillId="0" borderId="0" xfId="3" applyNumberFormat="1" applyFill="1" applyAlignment="1">
      <alignment vertical="center"/>
    </xf>
    <xf numFmtId="1" fontId="8" fillId="0" borderId="2" xfId="3" applyNumberFormat="1" applyFill="1" applyBorder="1"/>
    <xf numFmtId="1" fontId="8" fillId="0" borderId="3" xfId="3" applyNumberFormat="1" applyFill="1" applyBorder="1"/>
    <xf numFmtId="1" fontId="8" fillId="0" borderId="4" xfId="3" applyNumberFormat="1" applyFill="1" applyBorder="1"/>
    <xf numFmtId="1" fontId="8" fillId="0" borderId="5" xfId="3" applyNumberFormat="1" applyFill="1" applyBorder="1"/>
    <xf numFmtId="1" fontId="8" fillId="0" borderId="6" xfId="3" applyNumberFormat="1" applyFill="1" applyBorder="1"/>
    <xf numFmtId="1" fontId="8" fillId="0" borderId="7" xfId="3" applyNumberFormat="1" applyFill="1" applyBorder="1"/>
    <xf numFmtId="1" fontId="8" fillId="0" borderId="8" xfId="3" applyNumberFormat="1" applyFill="1" applyBorder="1"/>
    <xf numFmtId="1" fontId="8" fillId="0" borderId="22" xfId="0" applyNumberFormat="1" applyFont="1" applyFill="1" applyBorder="1"/>
    <xf numFmtId="1" fontId="8" fillId="0" borderId="0" xfId="0" applyNumberFormat="1" applyFont="1" applyFill="1"/>
    <xf numFmtId="0" fontId="8" fillId="0" borderId="0" xfId="0" applyFont="1" applyFill="1"/>
    <xf numFmtId="1" fontId="8" fillId="0" borderId="54" xfId="4" applyNumberFormat="1" applyFill="1" applyBorder="1" applyAlignment="1">
      <alignment horizontal="center" textRotation="90"/>
    </xf>
    <xf numFmtId="1" fontId="8" fillId="0" borderId="55" xfId="4" applyNumberFormat="1" applyFill="1" applyBorder="1" applyAlignment="1">
      <alignment horizontal="center" textRotation="90"/>
    </xf>
    <xf numFmtId="1" fontId="8" fillId="0" borderId="42" xfId="3" applyNumberFormat="1" applyFill="1" applyBorder="1" applyAlignment="1">
      <alignment horizontal="center" textRotation="90"/>
    </xf>
    <xf numFmtId="1" fontId="8" fillId="0" borderId="1" xfId="6" applyNumberFormat="1" applyFill="1" applyBorder="1" applyAlignment="1">
      <alignment vertical="center"/>
    </xf>
    <xf numFmtId="1" fontId="8" fillId="0" borderId="13" xfId="3" applyNumberFormat="1" applyFill="1" applyBorder="1" applyAlignment="1">
      <alignment vertical="center"/>
    </xf>
    <xf numFmtId="1" fontId="8" fillId="0" borderId="16" xfId="3" applyNumberFormat="1" applyFill="1" applyBorder="1" applyAlignment="1">
      <alignment vertical="center"/>
    </xf>
    <xf numFmtId="1" fontId="8" fillId="0" borderId="9" xfId="3" applyNumberFormat="1" applyFill="1" applyBorder="1" applyAlignment="1">
      <alignment horizontal="left" vertical="center"/>
    </xf>
    <xf numFmtId="0" fontId="9" fillId="0" borderId="0" xfId="3" applyFont="1" applyFill="1"/>
    <xf numFmtId="1" fontId="0" fillId="0" borderId="22" xfId="0" applyNumberFormat="1" applyBorder="1"/>
    <xf numFmtId="3" fontId="0" fillId="0" borderId="0" xfId="0" applyNumberFormat="1"/>
    <xf numFmtId="2" fontId="8" fillId="0" borderId="0" xfId="3" applyNumberFormat="1" applyFill="1"/>
    <xf numFmtId="1" fontId="8" fillId="0" borderId="0" xfId="3" applyNumberFormat="1" applyAlignment="1">
      <alignment horizontal="right"/>
    </xf>
    <xf numFmtId="3" fontId="8" fillId="0" borderId="22" xfId="8" applyNumberFormat="1" applyFont="1" applyFill="1" applyBorder="1"/>
    <xf numFmtId="3" fontId="0" fillId="0" borderId="22" xfId="8" applyNumberFormat="1" applyFont="1" applyFill="1" applyBorder="1"/>
    <xf numFmtId="3" fontId="8" fillId="0" borderId="22" xfId="3" applyNumberFormat="1" applyBorder="1" applyAlignment="1">
      <alignment horizontal="right"/>
    </xf>
    <xf numFmtId="1" fontId="8" fillId="2" borderId="54" xfId="4" applyNumberFormat="1" applyFont="1" applyFill="1" applyBorder="1" applyAlignment="1">
      <alignment horizontal="center" textRotation="90"/>
    </xf>
    <xf numFmtId="166" fontId="8" fillId="2" borderId="55" xfId="4" applyNumberFormat="1" applyFont="1" applyFill="1" applyBorder="1" applyAlignment="1">
      <alignment horizontal="center" textRotation="90"/>
    </xf>
    <xf numFmtId="3" fontId="0" fillId="0" borderId="22" xfId="0" applyNumberFormat="1" applyBorder="1"/>
    <xf numFmtId="3" fontId="0" fillId="0" borderId="23" xfId="0" applyNumberFormat="1" applyBorder="1"/>
    <xf numFmtId="3" fontId="0" fillId="0" borderId="49" xfId="0" applyNumberFormat="1" applyBorder="1"/>
    <xf numFmtId="3" fontId="8" fillId="0" borderId="22" xfId="25" applyNumberFormat="1" applyFont="1" applyFill="1" applyBorder="1"/>
    <xf numFmtId="3" fontId="0" fillId="0" borderId="52" xfId="0" applyNumberFormat="1" applyBorder="1"/>
    <xf numFmtId="3" fontId="0" fillId="0" borderId="18" xfId="0" applyNumberFormat="1" applyBorder="1"/>
    <xf numFmtId="3" fontId="0" fillId="0" borderId="19" xfId="0" applyNumberFormat="1" applyBorder="1"/>
    <xf numFmtId="3" fontId="0" fillId="0" borderId="21" xfId="0" applyNumberFormat="1" applyBorder="1"/>
    <xf numFmtId="1" fontId="0" fillId="0" borderId="0" xfId="0" applyNumberFormat="1"/>
    <xf numFmtId="1" fontId="0" fillId="0" borderId="41" xfId="0" applyNumberFormat="1" applyBorder="1"/>
    <xf numFmtId="3" fontId="8" fillId="0" borderId="22" xfId="25" applyNumberFormat="1" applyFont="1" applyFill="1" applyBorder="1" applyAlignment="1">
      <alignment horizontal="right"/>
    </xf>
    <xf numFmtId="3" fontId="0" fillId="2" borderId="37" xfId="0" applyNumberFormat="1" applyFill="1" applyBorder="1"/>
    <xf numFmtId="3" fontId="0" fillId="2" borderId="25" xfId="0" applyNumberFormat="1" applyFill="1" applyBorder="1"/>
    <xf numFmtId="167" fontId="0" fillId="2" borderId="59" xfId="0" applyNumberFormat="1" applyFill="1" applyBorder="1"/>
    <xf numFmtId="3" fontId="0" fillId="2" borderId="38" xfId="0" applyNumberFormat="1" applyFill="1" applyBorder="1"/>
    <xf numFmtId="3" fontId="0" fillId="2" borderId="39" xfId="0" applyNumberFormat="1" applyFill="1" applyBorder="1"/>
    <xf numFmtId="3" fontId="0" fillId="2" borderId="49" xfId="0" applyNumberFormat="1" applyFill="1" applyBorder="1"/>
    <xf numFmtId="3" fontId="0" fillId="2" borderId="21" xfId="0" applyNumberFormat="1" applyFill="1" applyBorder="1"/>
    <xf numFmtId="3" fontId="0" fillId="2" borderId="22" xfId="0" applyNumberFormat="1" applyFill="1" applyBorder="1"/>
    <xf numFmtId="1" fontId="0" fillId="2" borderId="22" xfId="0" applyNumberFormat="1" applyFill="1" applyBorder="1"/>
    <xf numFmtId="1" fontId="0" fillId="2" borderId="0" xfId="0" applyNumberFormat="1" applyFill="1"/>
    <xf numFmtId="1" fontId="17" fillId="2" borderId="45" xfId="3" applyNumberFormat="1" applyFont="1" applyFill="1" applyBorder="1" applyAlignment="1">
      <alignment horizontal="center"/>
    </xf>
    <xf numFmtId="3" fontId="8" fillId="0" borderId="18" xfId="0" applyNumberFormat="1" applyFont="1" applyBorder="1"/>
    <xf numFmtId="3" fontId="8" fillId="0" borderId="19" xfId="0" applyNumberFormat="1" applyFont="1" applyBorder="1"/>
    <xf numFmtId="166" fontId="8" fillId="2" borderId="55" xfId="4" applyNumberFormat="1" applyFill="1" applyBorder="1" applyAlignment="1">
      <alignment horizontal="center" textRotation="90"/>
    </xf>
    <xf numFmtId="1" fontId="8" fillId="2" borderId="1" xfId="3" applyNumberFormat="1" applyFill="1" applyBorder="1" applyAlignment="1">
      <alignment vertical="center"/>
    </xf>
    <xf numFmtId="170" fontId="8" fillId="0" borderId="0" xfId="3" applyNumberFormat="1" applyFill="1" applyBorder="1"/>
    <xf numFmtId="0" fontId="10" fillId="2" borderId="0" xfId="3" applyFont="1" applyFill="1" applyBorder="1" applyAlignment="1">
      <alignment horizontal="center"/>
    </xf>
    <xf numFmtId="0" fontId="10" fillId="2" borderId="0" xfId="3" applyFont="1" applyFill="1" applyBorder="1"/>
    <xf numFmtId="1" fontId="10" fillId="2" borderId="0" xfId="3" applyNumberFormat="1" applyFont="1" applyFill="1" applyBorder="1"/>
    <xf numFmtId="3" fontId="8" fillId="2" borderId="0" xfId="3" applyNumberFormat="1" applyFill="1" applyBorder="1"/>
    <xf numFmtId="3" fontId="10" fillId="2" borderId="0" xfId="3" applyNumberFormat="1" applyFont="1" applyFill="1" applyBorder="1"/>
    <xf numFmtId="0" fontId="8" fillId="2" borderId="0" xfId="3" applyFill="1" applyBorder="1"/>
    <xf numFmtId="3" fontId="8" fillId="2" borderId="0" xfId="3" applyNumberFormat="1" applyFont="1" applyFill="1" applyBorder="1"/>
    <xf numFmtId="0" fontId="8" fillId="2" borderId="0" xfId="3" applyFont="1" applyFill="1" applyBorder="1"/>
    <xf numFmtId="178" fontId="8" fillId="2" borderId="0" xfId="7" applyNumberFormat="1" applyFont="1" applyFill="1" applyBorder="1"/>
    <xf numFmtId="3" fontId="0" fillId="2" borderId="0" xfId="5" applyNumberFormat="1" applyFont="1" applyFill="1" applyBorder="1"/>
    <xf numFmtId="0" fontId="0" fillId="2" borderId="22" xfId="0" applyFill="1" applyBorder="1"/>
    <xf numFmtId="0" fontId="8" fillId="2" borderId="0" xfId="0" applyFont="1" applyFill="1"/>
    <xf numFmtId="3" fontId="0" fillId="2" borderId="0" xfId="0" applyNumberFormat="1" applyFill="1"/>
    <xf numFmtId="0" fontId="10" fillId="2" borderId="22" xfId="3" applyFont="1" applyFill="1" applyBorder="1"/>
    <xf numFmtId="0" fontId="10" fillId="2" borderId="22" xfId="3" applyFont="1" applyFill="1" applyBorder="1" applyAlignment="1">
      <alignment horizontal="center"/>
    </xf>
    <xf numFmtId="0" fontId="8" fillId="2" borderId="57" xfId="3" applyFill="1" applyBorder="1"/>
    <xf numFmtId="0" fontId="10" fillId="2" borderId="57" xfId="3" applyFont="1" applyFill="1" applyBorder="1"/>
    <xf numFmtId="0" fontId="8" fillId="2" borderId="57" xfId="3" applyFont="1" applyFill="1" applyBorder="1"/>
    <xf numFmtId="3" fontId="0" fillId="2" borderId="22" xfId="5" applyNumberFormat="1" applyFont="1" applyFill="1" applyBorder="1"/>
    <xf numFmtId="9" fontId="8" fillId="2" borderId="0" xfId="39" applyFont="1" applyFill="1"/>
    <xf numFmtId="2" fontId="8" fillId="2" borderId="0" xfId="3" applyNumberFormat="1" applyFill="1"/>
    <xf numFmtId="3" fontId="10" fillId="2" borderId="22" xfId="3" applyNumberFormat="1" applyFont="1" applyFill="1" applyBorder="1"/>
    <xf numFmtId="166" fontId="10" fillId="2" borderId="22" xfId="0" applyNumberFormat="1" applyFont="1" applyFill="1" applyBorder="1"/>
    <xf numFmtId="171" fontId="0" fillId="2" borderId="0" xfId="0" applyNumberFormat="1" applyFill="1"/>
    <xf numFmtId="9" fontId="0" fillId="2" borderId="0" xfId="39" applyFont="1" applyFill="1"/>
    <xf numFmtId="0" fontId="8" fillId="2" borderId="22" xfId="0" applyFont="1" applyFill="1" applyBorder="1"/>
    <xf numFmtId="0" fontId="0" fillId="2" borderId="0" xfId="39" applyNumberFormat="1" applyFont="1" applyFill="1"/>
    <xf numFmtId="3" fontId="10" fillId="2" borderId="0" xfId="3" applyNumberFormat="1" applyFont="1" applyFill="1"/>
    <xf numFmtId="3" fontId="10" fillId="2" borderId="0" xfId="39" applyNumberFormat="1" applyFont="1" applyFill="1"/>
    <xf numFmtId="0" fontId="10" fillId="8" borderId="57" xfId="3" applyFont="1" applyFill="1" applyBorder="1"/>
    <xf numFmtId="3" fontId="10" fillId="8" borderId="57" xfId="3" applyNumberFormat="1" applyFont="1" applyFill="1" applyBorder="1"/>
    <xf numFmtId="3" fontId="10" fillId="8" borderId="22" xfId="3" applyNumberFormat="1" applyFont="1" applyFill="1" applyBorder="1"/>
    <xf numFmtId="0" fontId="10" fillId="8" borderId="22" xfId="3" applyFont="1" applyFill="1" applyBorder="1"/>
    <xf numFmtId="3" fontId="8" fillId="9" borderId="22" xfId="37" applyNumberFormat="1" applyFont="1" applyFill="1" applyBorder="1"/>
    <xf numFmtId="1" fontId="8" fillId="9" borderId="22" xfId="37" applyNumberFormat="1" applyFont="1" applyFill="1" applyBorder="1"/>
    <xf numFmtId="3" fontId="8" fillId="9" borderId="22" xfId="37" applyNumberFormat="1" applyFont="1" applyFill="1" applyBorder="1" applyAlignment="1">
      <alignment horizontal="right"/>
    </xf>
    <xf numFmtId="0" fontId="8" fillId="2" borderId="22" xfId="3" applyFill="1" applyBorder="1"/>
    <xf numFmtId="1" fontId="17" fillId="2" borderId="45" xfId="3" applyNumberFormat="1" applyFont="1" applyFill="1" applyBorder="1" applyAlignment="1">
      <alignment horizontal="center"/>
    </xf>
    <xf numFmtId="3" fontId="8" fillId="10" borderId="23" xfId="37" applyNumberFormat="1" applyFont="1" applyFill="1" applyBorder="1"/>
    <xf numFmtId="3" fontId="8" fillId="10" borderId="22" xfId="37" applyNumberFormat="1" applyFont="1" applyFill="1" applyBorder="1"/>
    <xf numFmtId="0" fontId="8" fillId="2" borderId="0" xfId="3" applyFill="1"/>
    <xf numFmtId="3" fontId="8" fillId="2" borderId="21" xfId="3" applyNumberFormat="1" applyFill="1" applyBorder="1"/>
    <xf numFmtId="3" fontId="8" fillId="2" borderId="22" xfId="3" applyNumberFormat="1" applyFill="1" applyBorder="1"/>
    <xf numFmtId="3" fontId="8" fillId="2" borderId="23" xfId="3" applyNumberFormat="1" applyFill="1" applyBorder="1"/>
    <xf numFmtId="3" fontId="10" fillId="2" borderId="24" xfId="3" applyNumberFormat="1" applyFont="1" applyFill="1" applyBorder="1"/>
    <xf numFmtId="3" fontId="8" fillId="0" borderId="22" xfId="3" applyNumberFormat="1" applyFill="1" applyBorder="1"/>
    <xf numFmtId="3" fontId="8" fillId="2" borderId="17" xfId="3" applyNumberFormat="1" applyFill="1" applyBorder="1"/>
    <xf numFmtId="3" fontId="8" fillId="0" borderId="18" xfId="3" applyNumberFormat="1" applyFill="1" applyBorder="1"/>
    <xf numFmtId="3" fontId="8" fillId="2" borderId="18" xfId="3" applyNumberFormat="1" applyFill="1" applyBorder="1"/>
    <xf numFmtId="3" fontId="8" fillId="2" borderId="19" xfId="3" applyNumberFormat="1" applyFill="1" applyBorder="1"/>
    <xf numFmtId="3" fontId="8" fillId="2" borderId="49" xfId="3" applyNumberFormat="1" applyFill="1" applyBorder="1"/>
    <xf numFmtId="0" fontId="8" fillId="0" borderId="22" xfId="3" applyFill="1" applyBorder="1"/>
    <xf numFmtId="3" fontId="8" fillId="0" borderId="21" xfId="3" applyNumberFormat="1" applyFill="1" applyBorder="1"/>
    <xf numFmtId="0" fontId="8" fillId="0" borderId="0" xfId="3" applyFill="1"/>
    <xf numFmtId="3" fontId="8" fillId="2" borderId="26" xfId="3" applyNumberFormat="1" applyFill="1" applyBorder="1"/>
    <xf numFmtId="3" fontId="8" fillId="2" borderId="27" xfId="3" applyNumberFormat="1" applyFill="1" applyBorder="1"/>
    <xf numFmtId="3" fontId="8" fillId="2" borderId="28" xfId="3" applyNumberFormat="1" applyFill="1" applyBorder="1"/>
    <xf numFmtId="3" fontId="8" fillId="0" borderId="28" xfId="3" applyNumberFormat="1" applyFill="1" applyBorder="1"/>
    <xf numFmtId="3" fontId="8" fillId="2" borderId="30" xfId="3" applyNumberFormat="1" applyFill="1" applyBorder="1"/>
    <xf numFmtId="3" fontId="8" fillId="2" borderId="50" xfId="3" applyNumberFormat="1" applyFill="1" applyBorder="1"/>
    <xf numFmtId="3" fontId="8" fillId="2" borderId="32" xfId="3" applyNumberFormat="1" applyFill="1" applyBorder="1"/>
    <xf numFmtId="3" fontId="8" fillId="2" borderId="33" xfId="3" applyNumberFormat="1" applyFill="1" applyBorder="1"/>
    <xf numFmtId="3" fontId="8" fillId="2" borderId="34" xfId="3" applyNumberFormat="1" applyFill="1" applyBorder="1"/>
    <xf numFmtId="3" fontId="10" fillId="2" borderId="31" xfId="3" applyNumberFormat="1" applyFont="1" applyFill="1" applyBorder="1"/>
    <xf numFmtId="3" fontId="8" fillId="2" borderId="51" xfId="3" applyNumberFormat="1" applyFill="1" applyBorder="1"/>
    <xf numFmtId="3" fontId="8" fillId="2" borderId="1" xfId="3" applyNumberFormat="1" applyFill="1" applyBorder="1"/>
    <xf numFmtId="3" fontId="8" fillId="2" borderId="13" xfId="3" applyNumberFormat="1" applyFill="1" applyBorder="1"/>
    <xf numFmtId="3" fontId="8" fillId="2" borderId="14" xfId="3" applyNumberFormat="1" applyFill="1" applyBorder="1"/>
    <xf numFmtId="3" fontId="10" fillId="2" borderId="11" xfId="3" applyNumberFormat="1" applyFont="1" applyFill="1" applyBorder="1"/>
    <xf numFmtId="3" fontId="8" fillId="2" borderId="10" xfId="3" applyNumberFormat="1" applyFill="1" applyBorder="1"/>
    <xf numFmtId="3" fontId="8" fillId="2" borderId="15" xfId="3" applyNumberFormat="1" applyFill="1" applyBorder="1"/>
    <xf numFmtId="0" fontId="10" fillId="0" borderId="22" xfId="3" applyFont="1" applyFill="1" applyBorder="1"/>
    <xf numFmtId="0" fontId="10" fillId="0" borderId="0" xfId="3" applyFont="1" applyFill="1" applyBorder="1"/>
    <xf numFmtId="0" fontId="8" fillId="0" borderId="0" xfId="3" applyFill="1" applyBorder="1"/>
    <xf numFmtId="3" fontId="8" fillId="0" borderId="0" xfId="3" applyNumberFormat="1" applyFill="1" applyBorder="1"/>
    <xf numFmtId="3" fontId="10" fillId="0" borderId="0" xfId="3" applyNumberFormat="1" applyFont="1" applyFill="1" applyBorder="1"/>
    <xf numFmtId="0" fontId="10" fillId="0" borderId="0" xfId="3" applyFont="1" applyFill="1"/>
    <xf numFmtId="1" fontId="8" fillId="0" borderId="22" xfId="3" applyNumberFormat="1" applyFill="1" applyBorder="1"/>
    <xf numFmtId="3" fontId="8" fillId="5" borderId="24" xfId="3" applyNumberFormat="1" applyFill="1" applyBorder="1" applyAlignment="1">
      <alignment horizontal="left" indent="1"/>
    </xf>
    <xf numFmtId="1" fontId="8" fillId="2" borderId="22" xfId="3" applyNumberFormat="1" applyFill="1" applyBorder="1"/>
    <xf numFmtId="3" fontId="8" fillId="5" borderId="25" xfId="3" applyNumberFormat="1" applyFill="1" applyBorder="1" applyAlignment="1">
      <alignment horizontal="left" indent="1"/>
    </xf>
    <xf numFmtId="3" fontId="8" fillId="5" borderId="29" xfId="3" applyNumberFormat="1" applyFill="1" applyBorder="1" applyAlignment="1">
      <alignment horizontal="left" indent="1"/>
    </xf>
    <xf numFmtId="3" fontId="8" fillId="5" borderId="31" xfId="3" applyNumberFormat="1" applyFill="1" applyBorder="1" applyAlignment="1">
      <alignment horizontal="left" indent="1"/>
    </xf>
    <xf numFmtId="3" fontId="8" fillId="0" borderId="22" xfId="37" applyNumberFormat="1" applyFont="1" applyFill="1" applyBorder="1"/>
    <xf numFmtId="3" fontId="8" fillId="0" borderId="22" xfId="37" applyNumberFormat="1" applyFont="1" applyFill="1" applyBorder="1" applyAlignment="1">
      <alignment horizontal="right"/>
    </xf>
    <xf numFmtId="3" fontId="8" fillId="0" borderId="21" xfId="37" applyNumberFormat="1" applyFont="1" applyFill="1" applyBorder="1"/>
    <xf numFmtId="3" fontId="8" fillId="0" borderId="23" xfId="37" applyNumberFormat="1" applyFont="1" applyFill="1" applyBorder="1"/>
    <xf numFmtId="3" fontId="8" fillId="0" borderId="49" xfId="37" applyNumberFormat="1" applyFont="1" applyFill="1" applyBorder="1"/>
    <xf numFmtId="3" fontId="8" fillId="0" borderId="22" xfId="38" applyNumberFormat="1" applyFont="1" applyFill="1" applyBorder="1"/>
    <xf numFmtId="3" fontId="8" fillId="0" borderId="23" xfId="3" applyNumberFormat="1" applyBorder="1"/>
    <xf numFmtId="3" fontId="8" fillId="0" borderId="21" xfId="3" applyNumberFormat="1" applyBorder="1"/>
    <xf numFmtId="3" fontId="10" fillId="0" borderId="24" xfId="3" applyNumberFormat="1" applyFont="1" applyBorder="1"/>
    <xf numFmtId="3" fontId="8" fillId="0" borderId="22" xfId="3" applyNumberFormat="1" applyBorder="1"/>
    <xf numFmtId="3" fontId="8" fillId="0" borderId="49" xfId="3" applyNumberFormat="1" applyBorder="1"/>
    <xf numFmtId="3" fontId="8" fillId="0" borderId="17" xfId="3" applyNumberFormat="1" applyBorder="1"/>
    <xf numFmtId="3" fontId="8" fillId="0" borderId="18" xfId="3" applyNumberFormat="1" applyBorder="1"/>
    <xf numFmtId="3" fontId="8" fillId="5" borderId="53" xfId="3" applyNumberFormat="1" applyFill="1" applyBorder="1" applyAlignment="1">
      <alignment horizontal="left" indent="1"/>
    </xf>
    <xf numFmtId="167" fontId="8" fillId="0" borderId="23" xfId="3" applyNumberFormat="1" applyBorder="1"/>
    <xf numFmtId="167" fontId="8" fillId="0" borderId="21" xfId="3" applyNumberFormat="1" applyBorder="1"/>
    <xf numFmtId="3" fontId="8" fillId="0" borderId="28" xfId="3" applyNumberFormat="1" applyBorder="1"/>
    <xf numFmtId="3" fontId="8" fillId="0" borderId="30" xfId="3" applyNumberFormat="1" applyBorder="1"/>
    <xf numFmtId="1" fontId="8" fillId="0" borderId="22" xfId="37" applyNumberFormat="1" applyFont="1" applyFill="1" applyBorder="1"/>
    <xf numFmtId="1" fontId="8" fillId="0" borderId="41" xfId="37" applyNumberFormat="1" applyFont="1" applyFill="1" applyBorder="1"/>
    <xf numFmtId="1" fontId="8" fillId="0" borderId="22" xfId="3" applyNumberFormat="1" applyBorder="1"/>
    <xf numFmtId="3" fontId="8" fillId="9" borderId="23" xfId="37" applyNumberFormat="1" applyFont="1" applyFill="1" applyBorder="1"/>
    <xf numFmtId="0" fontId="8" fillId="11" borderId="0" xfId="0" applyFont="1" applyFill="1"/>
    <xf numFmtId="0" fontId="0" fillId="11" borderId="0" xfId="0" applyFill="1"/>
    <xf numFmtId="3" fontId="8" fillId="9" borderId="23" xfId="3" applyNumberFormat="1" applyFill="1" applyBorder="1"/>
    <xf numFmtId="0" fontId="0" fillId="2" borderId="0" xfId="0" applyFill="1" applyAlignment="1"/>
    <xf numFmtId="0" fontId="0" fillId="2" borderId="22" xfId="0" applyFill="1" applyBorder="1" applyAlignment="1"/>
    <xf numFmtId="0" fontId="10" fillId="0" borderId="22" xfId="3" applyFont="1" applyBorder="1"/>
    <xf numFmtId="0" fontId="10" fillId="0" borderId="22" xfId="3" applyFont="1" applyBorder="1" applyAlignment="1">
      <alignment horizontal="center"/>
    </xf>
    <xf numFmtId="0" fontId="8" fillId="0" borderId="22" xfId="3" applyBorder="1"/>
    <xf numFmtId="0" fontId="8" fillId="0" borderId="57" xfId="3" applyBorder="1"/>
    <xf numFmtId="0" fontId="0" fillId="8" borderId="22" xfId="0" applyFill="1" applyBorder="1"/>
    <xf numFmtId="3" fontId="0" fillId="8" borderId="22" xfId="0" applyNumberFormat="1" applyFill="1" applyBorder="1"/>
    <xf numFmtId="0" fontId="10" fillId="2" borderId="22" xfId="0" applyFont="1" applyFill="1" applyBorder="1" applyAlignment="1">
      <alignment horizontal="right"/>
    </xf>
    <xf numFmtId="3" fontId="10" fillId="2" borderId="22" xfId="0" applyNumberFormat="1" applyFont="1" applyFill="1" applyBorder="1" applyAlignment="1">
      <alignment horizontal="right"/>
    </xf>
    <xf numFmtId="0" fontId="10" fillId="2" borderId="0" xfId="0" applyFont="1" applyFill="1" applyAlignment="1">
      <alignment horizontal="right"/>
    </xf>
    <xf numFmtId="0" fontId="31" fillId="0" borderId="0" xfId="53"/>
    <xf numFmtId="0" fontId="32" fillId="0" borderId="0" xfId="0" applyFont="1"/>
    <xf numFmtId="0" fontId="8" fillId="0" borderId="22" xfId="0" applyFont="1" applyBorder="1"/>
    <xf numFmtId="0" fontId="32" fillId="0" borderId="22" xfId="0" applyFont="1" applyBorder="1"/>
    <xf numFmtId="3" fontId="32" fillId="0" borderId="22" xfId="0" applyNumberFormat="1" applyFont="1" applyBorder="1"/>
    <xf numFmtId="0" fontId="0" fillId="0" borderId="22" xfId="0" applyBorder="1"/>
    <xf numFmtId="0" fontId="8" fillId="12" borderId="0" xfId="0" applyFont="1" applyFill="1"/>
    <xf numFmtId="3" fontId="0" fillId="12" borderId="0" xfId="0" applyNumberFormat="1" applyFill="1"/>
    <xf numFmtId="0" fontId="0" fillId="8" borderId="0" xfId="0" applyFill="1"/>
    <xf numFmtId="1" fontId="0" fillId="8" borderId="22" xfId="0" applyNumberFormat="1" applyFill="1" applyBorder="1"/>
    <xf numFmtId="9" fontId="0" fillId="2" borderId="22" xfId="39" applyFont="1" applyFill="1" applyBorder="1"/>
    <xf numFmtId="9" fontId="0" fillId="8" borderId="22" xfId="39" applyFont="1" applyFill="1" applyBorder="1"/>
    <xf numFmtId="3" fontId="0" fillId="8" borderId="0" xfId="0" applyNumberFormat="1" applyFill="1"/>
    <xf numFmtId="0" fontId="8" fillId="8" borderId="0" xfId="3" applyFill="1"/>
    <xf numFmtId="9" fontId="0" fillId="8" borderId="0" xfId="39" applyFont="1" applyFill="1"/>
    <xf numFmtId="0" fontId="10" fillId="8" borderId="0" xfId="0" applyFont="1" applyFill="1"/>
    <xf numFmtId="0" fontId="33" fillId="0" borderId="0" xfId="0" applyFont="1"/>
    <xf numFmtId="0" fontId="34" fillId="0" borderId="0" xfId="0" applyFont="1" applyAlignment="1">
      <alignment horizontal="left" vertical="center" indent="1"/>
    </xf>
    <xf numFmtId="0" fontId="35" fillId="0" borderId="0" xfId="0" applyFont="1"/>
    <xf numFmtId="3" fontId="34" fillId="0" borderId="0" xfId="0" applyNumberFormat="1" applyFont="1"/>
    <xf numFmtId="0" fontId="10" fillId="0" borderId="0" xfId="0" applyFont="1"/>
    <xf numFmtId="9" fontId="0" fillId="0" borderId="0" xfId="0" applyNumberFormat="1"/>
    <xf numFmtId="1" fontId="0" fillId="13" borderId="0" xfId="0" applyNumberFormat="1" applyFill="1"/>
    <xf numFmtId="0" fontId="36" fillId="0" borderId="0" xfId="0" applyFont="1"/>
    <xf numFmtId="0" fontId="10" fillId="2" borderId="22" xfId="3" applyFont="1" applyFill="1" applyBorder="1" applyAlignment="1">
      <alignment horizontal="center"/>
    </xf>
    <xf numFmtId="0" fontId="38" fillId="0" borderId="0" xfId="0" applyFont="1"/>
    <xf numFmtId="0" fontId="37" fillId="0" borderId="0" xfId="0" applyFont="1"/>
    <xf numFmtId="41" fontId="0" fillId="0" borderId="0" xfId="7" applyNumberFormat="1" applyFont="1"/>
    <xf numFmtId="41" fontId="0" fillId="0" borderId="0" xfId="0" applyNumberFormat="1"/>
    <xf numFmtId="1" fontId="17" fillId="0" borderId="45" xfId="3" applyNumberFormat="1" applyFont="1" applyFill="1" applyBorder="1" applyAlignment="1">
      <alignment horizontal="center"/>
    </xf>
    <xf numFmtId="3" fontId="8" fillId="0" borderId="3" xfId="37" applyNumberFormat="1" applyFont="1" applyFill="1" applyBorder="1" applyAlignment="1" applyProtection="1">
      <alignment horizontal="left"/>
      <protection locked="0"/>
    </xf>
    <xf numFmtId="3" fontId="8" fillId="0" borderId="40" xfId="37" applyNumberFormat="1" applyFont="1" applyFill="1" applyBorder="1" applyAlignment="1" applyProtection="1">
      <alignment horizontal="left"/>
      <protection locked="0"/>
    </xf>
    <xf numFmtId="1" fontId="15" fillId="2" borderId="0" xfId="3" applyNumberFormat="1" applyFont="1" applyFill="1" applyAlignment="1">
      <alignment horizontal="center"/>
    </xf>
    <xf numFmtId="1" fontId="16" fillId="0" borderId="0" xfId="0" applyNumberFormat="1" applyFont="1" applyAlignment="1">
      <alignment horizontal="center" vertical="top"/>
    </xf>
    <xf numFmtId="1" fontId="8" fillId="0" borderId="60" xfId="3" applyNumberFormat="1" applyFill="1" applyBorder="1" applyAlignment="1">
      <alignment horizontal="center" textRotation="90" wrapText="1"/>
    </xf>
    <xf numFmtId="1" fontId="8" fillId="0" borderId="56" xfId="3" applyNumberFormat="1" applyFill="1" applyBorder="1" applyAlignment="1">
      <alignment horizontal="center" textRotation="90" wrapText="1"/>
    </xf>
    <xf numFmtId="1" fontId="8" fillId="0" borderId="43" xfId="3" applyNumberFormat="1" applyFill="1" applyBorder="1" applyAlignment="1">
      <alignment horizontal="center" textRotation="90" wrapText="1"/>
    </xf>
    <xf numFmtId="0" fontId="8" fillId="2" borderId="22" xfId="3" applyFill="1" applyBorder="1" applyAlignment="1">
      <alignment horizontal="center"/>
    </xf>
    <xf numFmtId="1" fontId="8" fillId="0" borderId="61" xfId="3" applyNumberFormat="1" applyFill="1" applyBorder="1" applyAlignment="1">
      <alignment horizontal="center" textRotation="90" wrapText="1"/>
    </xf>
    <xf numFmtId="1" fontId="8" fillId="0" borderId="62" xfId="3" applyNumberFormat="1" applyFill="1" applyBorder="1" applyAlignment="1">
      <alignment horizontal="center" textRotation="90" wrapText="1"/>
    </xf>
    <xf numFmtId="1" fontId="8" fillId="0" borderId="44" xfId="3" applyNumberFormat="1" applyFill="1" applyBorder="1" applyAlignment="1">
      <alignment horizontal="center" textRotation="90" wrapText="1"/>
    </xf>
    <xf numFmtId="1" fontId="8" fillId="2" borderId="60" xfId="3" applyNumberFormat="1" applyFill="1" applyBorder="1" applyAlignment="1">
      <alignment horizontal="center" textRotation="90" wrapText="1"/>
    </xf>
    <xf numFmtId="1" fontId="8" fillId="2" borderId="56" xfId="3" applyNumberFormat="1" applyFill="1" applyBorder="1" applyAlignment="1">
      <alignment horizontal="center" textRotation="90" wrapText="1"/>
    </xf>
    <xf numFmtId="1" fontId="8" fillId="2" borderId="43" xfId="3" applyNumberFormat="1" applyFill="1" applyBorder="1" applyAlignment="1">
      <alignment horizontal="center" textRotation="90" wrapText="1"/>
    </xf>
    <xf numFmtId="0" fontId="8" fillId="2" borderId="57" xfId="3" applyFill="1" applyBorder="1" applyAlignment="1">
      <alignment horizontal="center"/>
    </xf>
    <xf numFmtId="0" fontId="8" fillId="2" borderId="49" xfId="3" applyFill="1" applyBorder="1" applyAlignment="1">
      <alignment horizontal="center"/>
    </xf>
    <xf numFmtId="0" fontId="8" fillId="2" borderId="0" xfId="3" applyFill="1" applyBorder="1" applyAlignment="1">
      <alignment horizontal="center"/>
    </xf>
    <xf numFmtId="1" fontId="8" fillId="2" borderId="61" xfId="3" applyNumberFormat="1" applyFill="1" applyBorder="1" applyAlignment="1">
      <alignment horizontal="center" textRotation="90" wrapText="1"/>
    </xf>
    <xf numFmtId="1" fontId="8" fillId="2" borderId="62" xfId="3" applyNumberFormat="1" applyFill="1" applyBorder="1" applyAlignment="1">
      <alignment horizontal="center" textRotation="90" wrapText="1"/>
    </xf>
    <xf numFmtId="1" fontId="8" fillId="2" borderId="44" xfId="3" applyNumberFormat="1" applyFill="1" applyBorder="1" applyAlignment="1">
      <alignment horizontal="center" textRotation="90" wrapText="1"/>
    </xf>
    <xf numFmtId="1" fontId="17" fillId="2" borderId="45" xfId="3" applyNumberFormat="1" applyFont="1" applyFill="1" applyBorder="1" applyAlignment="1">
      <alignment horizontal="center"/>
    </xf>
    <xf numFmtId="3" fontId="8" fillId="2" borderId="3" xfId="37" applyNumberFormat="1" applyFont="1" applyFill="1" applyBorder="1" applyAlignment="1" applyProtection="1">
      <alignment horizontal="left"/>
      <protection locked="0"/>
    </xf>
    <xf numFmtId="3" fontId="8" fillId="2" borderId="40" xfId="37" applyNumberFormat="1" applyFont="1" applyFill="1" applyBorder="1" applyAlignment="1" applyProtection="1">
      <alignment horizontal="left"/>
      <protection locked="0"/>
    </xf>
    <xf numFmtId="1" fontId="16" fillId="2" borderId="0" xfId="0" applyNumberFormat="1" applyFont="1" applyFill="1" applyAlignment="1">
      <alignment horizontal="center" vertical="top"/>
    </xf>
    <xf numFmtId="0" fontId="8" fillId="0" borderId="0" xfId="3" applyFill="1" applyBorder="1" applyAlignment="1">
      <alignment horizontal="center"/>
    </xf>
    <xf numFmtId="3" fontId="8" fillId="0" borderId="3" xfId="3" applyNumberFormat="1" applyBorder="1" applyAlignment="1" applyProtection="1">
      <alignment horizontal="left"/>
      <protection locked="0"/>
    </xf>
    <xf numFmtId="3" fontId="8" fillId="0" borderId="40" xfId="3" applyNumberFormat="1" applyBorder="1" applyAlignment="1" applyProtection="1">
      <alignment horizontal="left"/>
      <protection locked="0"/>
    </xf>
    <xf numFmtId="0" fontId="8" fillId="0" borderId="28" xfId="3" applyFont="1" applyFill="1" applyBorder="1" applyAlignment="1">
      <alignment vertical="center"/>
    </xf>
    <xf numFmtId="0" fontId="8" fillId="0" borderId="18" xfId="3" applyFont="1" applyFill="1" applyBorder="1" applyAlignment="1">
      <alignment vertical="center"/>
    </xf>
    <xf numFmtId="0" fontId="10" fillId="0" borderId="28" xfId="3" applyFont="1" applyFill="1" applyBorder="1" applyAlignment="1">
      <alignment horizontal="center" vertical="center" textRotation="90"/>
    </xf>
    <xf numFmtId="0" fontId="10" fillId="0" borderId="56" xfId="3" applyFont="1" applyFill="1" applyBorder="1" applyAlignment="1">
      <alignment horizontal="center" vertical="center" textRotation="90"/>
    </xf>
    <xf numFmtId="0" fontId="10" fillId="0" borderId="18" xfId="3" applyFont="1" applyFill="1" applyBorder="1" applyAlignment="1">
      <alignment horizontal="center" vertical="center" textRotation="90"/>
    </xf>
  </cellXfs>
  <cellStyles count="54">
    <cellStyle name="1000-sep (2 dec) 2" xfId="25"/>
    <cellStyle name="1000-sep (2 dec) 2 2" xfId="27"/>
    <cellStyle name="1000-sep (2 dec) 2 3" xfId="41"/>
    <cellStyle name="1000-sep (2 dec) 2 4" xfId="52"/>
    <cellStyle name="God" xfId="37" builtinId="26"/>
    <cellStyle name="Komma" xfId="7" builtinId="3"/>
    <cellStyle name="Komma 2" xfId="2"/>
    <cellStyle name="Komma 2 2" xfId="10"/>
    <cellStyle name="Komma 2 2 2" xfId="29"/>
    <cellStyle name="Komma 2 3" xfId="8"/>
    <cellStyle name="Komma 2 3 2" xfId="30"/>
    <cellStyle name="Komma 2 3 3" xfId="43"/>
    <cellStyle name="Komma 3" xfId="5"/>
    <cellStyle name="Komma 3 2" xfId="23"/>
    <cellStyle name="Komma 3 3" xfId="31"/>
    <cellStyle name="Komma 3 4" xfId="42"/>
    <cellStyle name="Komma 4" xfId="9"/>
    <cellStyle name="Komma 5" xfId="22"/>
    <cellStyle name="Komma 5 2" xfId="50"/>
    <cellStyle name="Link" xfId="53" builtinId="8"/>
    <cellStyle name="Normal" xfId="0" builtinId="0"/>
    <cellStyle name="Normal 2" xfId="1"/>
    <cellStyle name="Normal 2 2" xfId="3"/>
    <cellStyle name="Normal 2 2 2" xfId="11"/>
    <cellStyle name="Normal 2 2 2 2" xfId="32"/>
    <cellStyle name="Normal 2 2 2 3" xfId="44"/>
    <cellStyle name="Normal 2 3" xfId="12"/>
    <cellStyle name="Normal 2 3 2" xfId="33"/>
    <cellStyle name="Normal 2 3 3" xfId="45"/>
    <cellStyle name="Normal 23" xfId="26"/>
    <cellStyle name="Normal 3" xfId="6"/>
    <cellStyle name="Normal 3 2" xfId="13"/>
    <cellStyle name="Normal 3 2 2" xfId="34"/>
    <cellStyle name="Normal 3 2 3" xfId="46"/>
    <cellStyle name="Normal 3 3" xfId="14"/>
    <cellStyle name="Normal 4" xfId="15"/>
    <cellStyle name="Normal 4 2" xfId="16"/>
    <cellStyle name="Normal 5" xfId="17"/>
    <cellStyle name="Normal 5 2" xfId="28"/>
    <cellStyle name="Normal 6" xfId="18"/>
    <cellStyle name="Normal 6 2" xfId="35"/>
    <cellStyle name="Normal 6 3" xfId="47"/>
    <cellStyle name="Normal 7" xfId="19"/>
    <cellStyle name="Normal 7 2" xfId="36"/>
    <cellStyle name="Normal 7 3" xfId="48"/>
    <cellStyle name="Normal 8" xfId="21"/>
    <cellStyle name="Normal 8 2" xfId="49"/>
    <cellStyle name="Normal 9" xfId="40"/>
    <cellStyle name="Procent" xfId="39" builtinId="5"/>
    <cellStyle name="Procent 2" xfId="4"/>
    <cellStyle name="Procent 3" xfId="20"/>
    <cellStyle name="Procent 4" xfId="24"/>
    <cellStyle name="Procent 4 2" xfId="51"/>
    <cellStyle name="Ugyldig" xfId="38" builtinId="27"/>
  </cellStyles>
  <dxfs count="0"/>
  <tableStyles count="0" defaultTableStyle="TableStyleMedium9" defaultPivotStyle="PivotStyleLight16"/>
  <colors>
    <mruColors>
      <color rgb="FF99CC33"/>
      <color rgb="FFE3DFD4"/>
      <color rgb="FFCCFFCC"/>
      <color rgb="FFC4CCC4"/>
      <color rgb="FFCCFF66"/>
      <color rgb="FFBEE6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6916426513188"/>
          <c:y val="3.465346534653465E-2"/>
          <c:w val="0.60806916426512969"/>
          <c:h val="0.85396039603960394"/>
        </c:manualLayout>
      </c:layout>
      <c:barChart>
        <c:barDir val="col"/>
        <c:grouping val="stacked"/>
        <c:varyColors val="0"/>
        <c:ser>
          <c:idx val="1"/>
          <c:order val="0"/>
          <c:tx>
            <c:strRef>
              <c:f>Grafer!$B$564</c:f>
              <c:strCache>
                <c:ptCount val="1"/>
                <c:pt idx="0">
                  <c:v>Elimport</c:v>
                </c:pt>
              </c:strCache>
            </c:strRef>
          </c:tx>
          <c:invertIfNegative val="0"/>
          <c:cat>
            <c:strRef>
              <c:f>Grafer!$C$101:$E$101</c:f>
              <c:strCache>
                <c:ptCount val="3"/>
                <c:pt idx="0">
                  <c:v>2018</c:v>
                </c:pt>
                <c:pt idx="1">
                  <c:v>BAU2030</c:v>
                </c:pt>
                <c:pt idx="2">
                  <c:v>BAU2050</c:v>
                </c:pt>
              </c:strCache>
            </c:strRef>
          </c:cat>
          <c:val>
            <c:numRef>
              <c:f>Grafer!$C$564:$E$564</c:f>
              <c:numCache>
                <c:formatCode>#,##0</c:formatCode>
                <c:ptCount val="3"/>
                <c:pt idx="0">
                  <c:v>-16.253355625390768</c:v>
                </c:pt>
                <c:pt idx="1">
                  <c:v>0</c:v>
                </c:pt>
                <c:pt idx="2">
                  <c:v>0</c:v>
                </c:pt>
              </c:numCache>
            </c:numRef>
          </c:val>
          <c:extLst xmlns:c16r2="http://schemas.microsoft.com/office/drawing/2015/06/chart">
            <c:ext xmlns:c16="http://schemas.microsoft.com/office/drawing/2014/chart" uri="{C3380CC4-5D6E-409C-BE32-E72D297353CC}">
              <c16:uniqueId val="{00000000-5AD0-4897-A234-5C755152B579}"/>
            </c:ext>
          </c:extLst>
        </c:ser>
        <c:ser>
          <c:idx val="2"/>
          <c:order val="1"/>
          <c:tx>
            <c:strRef>
              <c:f>Grafer!$B$565</c:f>
              <c:strCache>
                <c:ptCount val="1"/>
                <c:pt idx="0">
                  <c:v>Kul</c:v>
                </c:pt>
              </c:strCache>
            </c:strRef>
          </c:tx>
          <c:invertIfNegative val="0"/>
          <c:cat>
            <c:strRef>
              <c:f>Grafer!$C$101:$E$101</c:f>
              <c:strCache>
                <c:ptCount val="3"/>
                <c:pt idx="0">
                  <c:v>2018</c:v>
                </c:pt>
                <c:pt idx="1">
                  <c:v>BAU2030</c:v>
                </c:pt>
                <c:pt idx="2">
                  <c:v>BAU2050</c:v>
                </c:pt>
              </c:strCache>
            </c:strRef>
          </c:cat>
          <c:val>
            <c:numRef>
              <c:f>Grafer!$C$565:$E$565</c:f>
              <c:numCache>
                <c:formatCode>#,##0</c:formatCode>
                <c:ptCount val="3"/>
                <c:pt idx="0">
                  <c:v>0.88303500000000013</c:v>
                </c:pt>
                <c:pt idx="1">
                  <c:v>0.84771360000000018</c:v>
                </c:pt>
                <c:pt idx="2">
                  <c:v>0.79473150000000015</c:v>
                </c:pt>
              </c:numCache>
            </c:numRef>
          </c:val>
          <c:extLst xmlns:c16r2="http://schemas.microsoft.com/office/drawing/2015/06/chart">
            <c:ext xmlns:c16="http://schemas.microsoft.com/office/drawing/2014/chart" uri="{C3380CC4-5D6E-409C-BE32-E72D297353CC}">
              <c16:uniqueId val="{00000001-5AD0-4897-A234-5C755152B579}"/>
            </c:ext>
          </c:extLst>
        </c:ser>
        <c:ser>
          <c:idx val="3"/>
          <c:order val="2"/>
          <c:tx>
            <c:strRef>
              <c:f>Grafer!$B$566</c:f>
              <c:strCache>
                <c:ptCount val="1"/>
                <c:pt idx="0">
                  <c:v>Naturgas og LPG</c:v>
                </c:pt>
              </c:strCache>
            </c:strRef>
          </c:tx>
          <c:invertIfNegative val="0"/>
          <c:cat>
            <c:strRef>
              <c:f>Grafer!$C$101:$E$101</c:f>
              <c:strCache>
                <c:ptCount val="3"/>
                <c:pt idx="0">
                  <c:v>2018</c:v>
                </c:pt>
                <c:pt idx="1">
                  <c:v>BAU2030</c:v>
                </c:pt>
                <c:pt idx="2">
                  <c:v>BAU2050</c:v>
                </c:pt>
              </c:strCache>
            </c:strRef>
          </c:cat>
          <c:val>
            <c:numRef>
              <c:f>Grafer!$C$566:$E$566</c:f>
              <c:numCache>
                <c:formatCode>#,##0</c:formatCode>
                <c:ptCount val="3"/>
                <c:pt idx="0">
                  <c:v>73.307799999999986</c:v>
                </c:pt>
                <c:pt idx="1">
                  <c:v>62.306362239999999</c:v>
                </c:pt>
                <c:pt idx="2">
                  <c:v>62.100676599999986</c:v>
                </c:pt>
              </c:numCache>
            </c:numRef>
          </c:val>
          <c:extLst xmlns:c16r2="http://schemas.microsoft.com/office/drawing/2015/06/chart">
            <c:ext xmlns:c16="http://schemas.microsoft.com/office/drawing/2014/chart" uri="{C3380CC4-5D6E-409C-BE32-E72D297353CC}">
              <c16:uniqueId val="{00000002-5AD0-4897-A234-5C755152B579}"/>
            </c:ext>
          </c:extLst>
        </c:ser>
        <c:ser>
          <c:idx val="4"/>
          <c:order val="3"/>
          <c:tx>
            <c:strRef>
              <c:f>Grafer!$B$567</c:f>
              <c:strCache>
                <c:ptCount val="1"/>
                <c:pt idx="0">
                  <c:v>Fuelolie</c:v>
                </c:pt>
              </c:strCache>
            </c:strRef>
          </c:tx>
          <c:invertIfNegative val="0"/>
          <c:cat>
            <c:strRef>
              <c:f>Grafer!$C$101:$E$101</c:f>
              <c:strCache>
                <c:ptCount val="3"/>
                <c:pt idx="0">
                  <c:v>2018</c:v>
                </c:pt>
                <c:pt idx="1">
                  <c:v>BAU2030</c:v>
                </c:pt>
                <c:pt idx="2">
                  <c:v>BAU2050</c:v>
                </c:pt>
              </c:strCache>
            </c:strRef>
          </c:cat>
          <c:val>
            <c:numRef>
              <c:f>Grafer!$C$567:$E$567</c:f>
              <c:numCache>
                <c:formatCode>#,##0</c:formatCode>
                <c:ptCount val="3"/>
                <c:pt idx="0">
                  <c:v>7.8840000000000004E-3</c:v>
                </c:pt>
                <c:pt idx="1">
                  <c:v>7.4898000000000005E-3</c:v>
                </c:pt>
                <c:pt idx="2">
                  <c:v>7.4898000000000005E-3</c:v>
                </c:pt>
              </c:numCache>
            </c:numRef>
          </c:val>
          <c:extLst xmlns:c16r2="http://schemas.microsoft.com/office/drawing/2015/06/chart">
            <c:ext xmlns:c16="http://schemas.microsoft.com/office/drawing/2014/chart" uri="{C3380CC4-5D6E-409C-BE32-E72D297353CC}">
              <c16:uniqueId val="{00000003-5AD0-4897-A234-5C755152B579}"/>
            </c:ext>
          </c:extLst>
        </c:ser>
        <c:ser>
          <c:idx val="5"/>
          <c:order val="4"/>
          <c:tx>
            <c:strRef>
              <c:f>Grafer!$B$568</c:f>
              <c:strCache>
                <c:ptCount val="1"/>
                <c:pt idx="0">
                  <c:v>Brændselsolie/diesel</c:v>
                </c:pt>
              </c:strCache>
            </c:strRef>
          </c:tx>
          <c:invertIfNegative val="0"/>
          <c:cat>
            <c:strRef>
              <c:f>Grafer!$C$101:$E$101</c:f>
              <c:strCache>
                <c:ptCount val="3"/>
                <c:pt idx="0">
                  <c:v>2018</c:v>
                </c:pt>
                <c:pt idx="1">
                  <c:v>BAU2030</c:v>
                </c:pt>
                <c:pt idx="2">
                  <c:v>BAU2050</c:v>
                </c:pt>
              </c:strCache>
            </c:strRef>
          </c:cat>
          <c:val>
            <c:numRef>
              <c:f>Grafer!$C$568:$E$568</c:f>
              <c:numCache>
                <c:formatCode>#,##0</c:formatCode>
                <c:ptCount val="3"/>
                <c:pt idx="0">
                  <c:v>151.1066902</c:v>
                </c:pt>
                <c:pt idx="1">
                  <c:v>125.40337827799999</c:v>
                </c:pt>
                <c:pt idx="2">
                  <c:v>78.429304040000005</c:v>
                </c:pt>
              </c:numCache>
            </c:numRef>
          </c:val>
          <c:extLst xmlns:c16r2="http://schemas.microsoft.com/office/drawing/2015/06/chart">
            <c:ext xmlns:c16="http://schemas.microsoft.com/office/drawing/2014/chart" uri="{C3380CC4-5D6E-409C-BE32-E72D297353CC}">
              <c16:uniqueId val="{00000004-5AD0-4897-A234-5C755152B579}"/>
            </c:ext>
          </c:extLst>
        </c:ser>
        <c:ser>
          <c:idx val="7"/>
          <c:order val="5"/>
          <c:tx>
            <c:strRef>
              <c:f>Grafer!$B$569</c:f>
              <c:strCache>
                <c:ptCount val="1"/>
                <c:pt idx="0">
                  <c:v>JP1</c:v>
                </c:pt>
              </c:strCache>
            </c:strRef>
          </c:tx>
          <c:spPr>
            <a:solidFill>
              <a:srgbClr val="D9AAA9"/>
            </a:solidFill>
          </c:spPr>
          <c:invertIfNegative val="0"/>
          <c:cat>
            <c:strRef>
              <c:f>Grafer!$C$101:$E$101</c:f>
              <c:strCache>
                <c:ptCount val="3"/>
                <c:pt idx="0">
                  <c:v>2018</c:v>
                </c:pt>
                <c:pt idx="1">
                  <c:v>BAU2030</c:v>
                </c:pt>
                <c:pt idx="2">
                  <c:v>BAU2050</c:v>
                </c:pt>
              </c:strCache>
            </c:strRef>
          </c:cat>
          <c:val>
            <c:numRef>
              <c:f>Grafer!$C$569:$E$569</c:f>
              <c:numCache>
                <c:formatCode>#,##0</c:formatCode>
                <c:ptCount val="3"/>
                <c:pt idx="0">
                  <c:v>54.734400000000001</c:v>
                </c:pt>
                <c:pt idx="1">
                  <c:v>58.565808000000004</c:v>
                </c:pt>
                <c:pt idx="2">
                  <c:v>65.681280000000001</c:v>
                </c:pt>
              </c:numCache>
            </c:numRef>
          </c:val>
          <c:extLst xmlns:c16r2="http://schemas.microsoft.com/office/drawing/2015/06/chart">
            <c:ext xmlns:c16="http://schemas.microsoft.com/office/drawing/2014/chart" uri="{C3380CC4-5D6E-409C-BE32-E72D297353CC}">
              <c16:uniqueId val="{00000005-5AD0-4897-A234-5C755152B579}"/>
            </c:ext>
          </c:extLst>
        </c:ser>
        <c:ser>
          <c:idx val="6"/>
          <c:order val="6"/>
          <c:tx>
            <c:strRef>
              <c:f>Grafer!$B$570</c:f>
              <c:strCache>
                <c:ptCount val="1"/>
                <c:pt idx="0">
                  <c:v>Benzin</c:v>
                </c:pt>
              </c:strCache>
            </c:strRef>
          </c:tx>
          <c:invertIfNegative val="0"/>
          <c:cat>
            <c:strRef>
              <c:f>Grafer!$C$101:$E$101</c:f>
              <c:strCache>
                <c:ptCount val="3"/>
                <c:pt idx="0">
                  <c:v>2018</c:v>
                </c:pt>
                <c:pt idx="1">
                  <c:v>BAU2030</c:v>
                </c:pt>
                <c:pt idx="2">
                  <c:v>BAU2050</c:v>
                </c:pt>
              </c:strCache>
            </c:strRef>
          </c:cat>
          <c:val>
            <c:numRef>
              <c:f>Grafer!$C$570:$E$570</c:f>
              <c:numCache>
                <c:formatCode>#,##0</c:formatCode>
                <c:ptCount val="3"/>
                <c:pt idx="0">
                  <c:v>72.7548149</c:v>
                </c:pt>
                <c:pt idx="1">
                  <c:v>57.492655771000003</c:v>
                </c:pt>
                <c:pt idx="2">
                  <c:v>14.609362980000002</c:v>
                </c:pt>
              </c:numCache>
            </c:numRef>
          </c:val>
          <c:extLst xmlns:c16r2="http://schemas.microsoft.com/office/drawing/2015/06/chart">
            <c:ext xmlns:c16="http://schemas.microsoft.com/office/drawing/2014/chart" uri="{C3380CC4-5D6E-409C-BE32-E72D297353CC}">
              <c16:uniqueId val="{00000006-5AD0-4897-A234-5C755152B579}"/>
            </c:ext>
          </c:extLst>
        </c:ser>
        <c:ser>
          <c:idx val="0"/>
          <c:order val="7"/>
          <c:tx>
            <c:strRef>
              <c:f>Grafer!$B$571</c:f>
              <c:strCache>
                <c:ptCount val="1"/>
                <c:pt idx="0">
                  <c:v>Affald, ikke bionedbrydeligt</c:v>
                </c:pt>
              </c:strCache>
            </c:strRef>
          </c:tx>
          <c:invertIfNegative val="0"/>
          <c:cat>
            <c:strRef>
              <c:f>Grafer!$C$101:$E$101</c:f>
              <c:strCache>
                <c:ptCount val="3"/>
                <c:pt idx="0">
                  <c:v>2018</c:v>
                </c:pt>
                <c:pt idx="1">
                  <c:v>BAU2030</c:v>
                </c:pt>
                <c:pt idx="2">
                  <c:v>BAU2050</c:v>
                </c:pt>
              </c:strCache>
            </c:strRef>
          </c:cat>
          <c:val>
            <c:numRef>
              <c:f>Grafer!$C$571:$E$571</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7-5AD0-4897-A234-5C755152B579}"/>
            </c:ext>
          </c:extLst>
        </c:ser>
        <c:dLbls>
          <c:showLegendKey val="0"/>
          <c:showVal val="0"/>
          <c:showCatName val="0"/>
          <c:showSerName val="0"/>
          <c:showPercent val="0"/>
          <c:showBubbleSize val="0"/>
        </c:dLbls>
        <c:gapWidth val="150"/>
        <c:overlap val="100"/>
        <c:axId val="316638728"/>
        <c:axId val="316639120"/>
      </c:barChart>
      <c:catAx>
        <c:axId val="31663872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9120"/>
        <c:crosses val="autoZero"/>
        <c:auto val="1"/>
        <c:lblAlgn val="ctr"/>
        <c:lblOffset val="100"/>
        <c:noMultiLvlLbl val="0"/>
      </c:catAx>
      <c:valAx>
        <c:axId val="31663912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8728"/>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1" l="0.70000000000000062" r="0.70000000000000062" t="0.75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5"/>
          <c:order val="0"/>
          <c:tx>
            <c:strRef>
              <c:f>Grafer!$B$118</c:f>
              <c:strCache>
                <c:ptCount val="1"/>
                <c:pt idx="0">
                  <c:v>I alt fossil</c:v>
                </c:pt>
              </c:strCache>
            </c:strRef>
          </c:tx>
          <c:spPr>
            <a:solidFill>
              <a:schemeClr val="accent1">
                <a:lumMod val="75000"/>
              </a:schemeClr>
            </a:solidFill>
          </c:spPr>
          <c:invertIfNegative val="0"/>
          <c:dLbls>
            <c:delete val="1"/>
          </c:dLbls>
          <c:cat>
            <c:strRef>
              <c:f>Grafer!$C$101:$E$101</c:f>
              <c:strCache>
                <c:ptCount val="3"/>
                <c:pt idx="0">
                  <c:v>2018</c:v>
                </c:pt>
                <c:pt idx="1">
                  <c:v>BAU2030</c:v>
                </c:pt>
                <c:pt idx="2">
                  <c:v>BAU2050</c:v>
                </c:pt>
              </c:strCache>
            </c:strRef>
          </c:cat>
          <c:val>
            <c:numRef>
              <c:f>Grafer!$C$118:$E$118</c:f>
              <c:numCache>
                <c:formatCode>#,##0</c:formatCode>
                <c:ptCount val="3"/>
                <c:pt idx="0">
                  <c:v>5016.3923145486724</c:v>
                </c:pt>
                <c:pt idx="1">
                  <c:v>4393.1401939999996</c:v>
                </c:pt>
                <c:pt idx="2">
                  <c:v>3265.5725199999993</c:v>
                </c:pt>
              </c:numCache>
            </c:numRef>
          </c:val>
          <c:extLst xmlns:c16r2="http://schemas.microsoft.com/office/drawing/2015/06/chart">
            <c:ext xmlns:c16="http://schemas.microsoft.com/office/drawing/2014/chart" uri="{C3380CC4-5D6E-409C-BE32-E72D297353CC}">
              <c16:uniqueId val="{00000000-3EE3-43FF-8D5F-A2DE6A62EB82}"/>
            </c:ext>
          </c:extLst>
        </c:ser>
        <c:ser>
          <c:idx val="16"/>
          <c:order val="1"/>
          <c:tx>
            <c:strRef>
              <c:f>Grafer!$B$119</c:f>
              <c:strCache>
                <c:ptCount val="1"/>
                <c:pt idx="0">
                  <c:v>I alt VE</c:v>
                </c:pt>
              </c:strCache>
            </c:strRef>
          </c:tx>
          <c:spPr>
            <a:solidFill>
              <a:schemeClr val="accent3"/>
            </a:solidFill>
          </c:spPr>
          <c:invertIfNegative val="0"/>
          <c:dLbls>
            <c:delete val="1"/>
          </c:dLbls>
          <c:cat>
            <c:strRef>
              <c:f>Grafer!$C$101:$E$101</c:f>
              <c:strCache>
                <c:ptCount val="3"/>
                <c:pt idx="0">
                  <c:v>2018</c:v>
                </c:pt>
                <c:pt idx="1">
                  <c:v>BAU2030</c:v>
                </c:pt>
                <c:pt idx="2">
                  <c:v>BAU2050</c:v>
                </c:pt>
              </c:strCache>
            </c:strRef>
          </c:cat>
          <c:val>
            <c:numRef>
              <c:f>Grafer!$C$119:$E$119</c:f>
              <c:numCache>
                <c:formatCode>#,##0</c:formatCode>
                <c:ptCount val="3"/>
                <c:pt idx="0">
                  <c:v>4888.5589614310993</c:v>
                </c:pt>
                <c:pt idx="1">
                  <c:v>5058.52441011273</c:v>
                </c:pt>
                <c:pt idx="2">
                  <c:v>5480.9703264844957</c:v>
                </c:pt>
              </c:numCache>
            </c:numRef>
          </c:val>
          <c:extLst xmlns:c16r2="http://schemas.microsoft.com/office/drawing/2015/06/chart">
            <c:ext xmlns:c16="http://schemas.microsoft.com/office/drawing/2014/chart" uri="{C3380CC4-5D6E-409C-BE32-E72D297353CC}">
              <c16:uniqueId val="{00000001-3EE3-43FF-8D5F-A2DE6A62EB82}"/>
            </c:ext>
          </c:extLst>
        </c:ser>
        <c:dLbls>
          <c:showLegendKey val="0"/>
          <c:showVal val="1"/>
          <c:showCatName val="0"/>
          <c:showSerName val="0"/>
          <c:showPercent val="0"/>
          <c:showBubbleSize val="0"/>
        </c:dLbls>
        <c:gapWidth val="150"/>
        <c:axId val="316646176"/>
        <c:axId val="316645392"/>
      </c:barChart>
      <c:catAx>
        <c:axId val="316646176"/>
        <c:scaling>
          <c:orientation val="minMax"/>
        </c:scaling>
        <c:delete val="0"/>
        <c:axPos val="b"/>
        <c:numFmt formatCode="General" sourceLinked="1"/>
        <c:majorTickMark val="out"/>
        <c:minorTickMark val="none"/>
        <c:tickLblPos val="nextTo"/>
        <c:crossAx val="316645392"/>
        <c:crosses val="autoZero"/>
        <c:auto val="1"/>
        <c:lblAlgn val="ctr"/>
        <c:lblOffset val="100"/>
        <c:noMultiLvlLbl val="0"/>
      </c:catAx>
      <c:valAx>
        <c:axId val="316645392"/>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316646176"/>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5"/>
          <c:order val="0"/>
          <c:tx>
            <c:strRef>
              <c:f>Grafer!$B$118</c:f>
              <c:strCache>
                <c:ptCount val="1"/>
                <c:pt idx="0">
                  <c:v>I alt fossil</c:v>
                </c:pt>
              </c:strCache>
            </c:strRef>
          </c:tx>
          <c:spPr>
            <a:solidFill>
              <a:schemeClr val="accent1">
                <a:lumMod val="75000"/>
              </a:schemeClr>
            </a:solidFill>
          </c:spPr>
          <c:invertIfNegative val="0"/>
          <c:dLbls>
            <c:delete val="1"/>
          </c:dLbls>
          <c:cat>
            <c:strRef>
              <c:f>Grafer!$C$101:$G$101</c:f>
              <c:strCache>
                <c:ptCount val="5"/>
                <c:pt idx="0">
                  <c:v>2018</c:v>
                </c:pt>
                <c:pt idx="1">
                  <c:v>BAU2030</c:v>
                </c:pt>
                <c:pt idx="2">
                  <c:v>BAU2050</c:v>
                </c:pt>
                <c:pt idx="3">
                  <c:v>Mål 2030</c:v>
                </c:pt>
                <c:pt idx="4">
                  <c:v>Mål 2050</c:v>
                </c:pt>
              </c:strCache>
            </c:strRef>
          </c:cat>
          <c:val>
            <c:numRef>
              <c:f>Grafer!$C$118:$G$118</c:f>
              <c:numCache>
                <c:formatCode>#,##0</c:formatCode>
                <c:ptCount val="5"/>
                <c:pt idx="0">
                  <c:v>5016.3923145486724</c:v>
                </c:pt>
                <c:pt idx="1">
                  <c:v>4393.1401939999996</c:v>
                </c:pt>
                <c:pt idx="2">
                  <c:v>3265.5725199999993</c:v>
                </c:pt>
                <c:pt idx="3">
                  <c:v>0</c:v>
                </c:pt>
                <c:pt idx="4">
                  <c:v>0</c:v>
                </c:pt>
              </c:numCache>
            </c:numRef>
          </c:val>
          <c:extLst xmlns:c16r2="http://schemas.microsoft.com/office/drawing/2015/06/chart">
            <c:ext xmlns:c16="http://schemas.microsoft.com/office/drawing/2014/chart" uri="{C3380CC4-5D6E-409C-BE32-E72D297353CC}">
              <c16:uniqueId val="{00000000-9729-4D49-8A92-C2F137001EE2}"/>
            </c:ext>
          </c:extLst>
        </c:ser>
        <c:ser>
          <c:idx val="16"/>
          <c:order val="1"/>
          <c:tx>
            <c:strRef>
              <c:f>Grafer!$B$119</c:f>
              <c:strCache>
                <c:ptCount val="1"/>
                <c:pt idx="0">
                  <c:v>I alt VE</c:v>
                </c:pt>
              </c:strCache>
            </c:strRef>
          </c:tx>
          <c:spPr>
            <a:solidFill>
              <a:schemeClr val="accent3"/>
            </a:solidFill>
          </c:spPr>
          <c:invertIfNegative val="0"/>
          <c:dLbls>
            <c:delete val="1"/>
          </c:dLbls>
          <c:cat>
            <c:strRef>
              <c:f>Grafer!$C$101:$G$101</c:f>
              <c:strCache>
                <c:ptCount val="5"/>
                <c:pt idx="0">
                  <c:v>2018</c:v>
                </c:pt>
                <c:pt idx="1">
                  <c:v>BAU2030</c:v>
                </c:pt>
                <c:pt idx="2">
                  <c:v>BAU2050</c:v>
                </c:pt>
                <c:pt idx="3">
                  <c:v>Mål 2030</c:v>
                </c:pt>
                <c:pt idx="4">
                  <c:v>Mål 2050</c:v>
                </c:pt>
              </c:strCache>
            </c:strRef>
          </c:cat>
          <c:val>
            <c:numRef>
              <c:f>Grafer!$C$119:$G$119</c:f>
              <c:numCache>
                <c:formatCode>#,##0</c:formatCode>
                <c:ptCount val="5"/>
                <c:pt idx="0">
                  <c:v>4888.5589614310993</c:v>
                </c:pt>
                <c:pt idx="1">
                  <c:v>5058.52441011273</c:v>
                </c:pt>
                <c:pt idx="2">
                  <c:v>5480.9703264844957</c:v>
                </c:pt>
                <c:pt idx="3">
                  <c:v>0</c:v>
                </c:pt>
                <c:pt idx="4">
                  <c:v>0</c:v>
                </c:pt>
              </c:numCache>
            </c:numRef>
          </c:val>
          <c:extLst xmlns:c16r2="http://schemas.microsoft.com/office/drawing/2015/06/chart">
            <c:ext xmlns:c16="http://schemas.microsoft.com/office/drawing/2014/chart" uri="{C3380CC4-5D6E-409C-BE32-E72D297353CC}">
              <c16:uniqueId val="{00000001-9729-4D49-8A92-C2F137001EE2}"/>
            </c:ext>
          </c:extLst>
        </c:ser>
        <c:dLbls>
          <c:showLegendKey val="0"/>
          <c:showVal val="1"/>
          <c:showCatName val="0"/>
          <c:showSerName val="0"/>
          <c:showPercent val="0"/>
          <c:showBubbleSize val="0"/>
        </c:dLbls>
        <c:gapWidth val="150"/>
        <c:axId val="316646568"/>
        <c:axId val="316644216"/>
      </c:barChart>
      <c:catAx>
        <c:axId val="316646568"/>
        <c:scaling>
          <c:orientation val="minMax"/>
        </c:scaling>
        <c:delete val="0"/>
        <c:axPos val="b"/>
        <c:numFmt formatCode="General" sourceLinked="1"/>
        <c:majorTickMark val="out"/>
        <c:minorTickMark val="none"/>
        <c:tickLblPos val="nextTo"/>
        <c:crossAx val="316644216"/>
        <c:crosses val="autoZero"/>
        <c:auto val="1"/>
        <c:lblAlgn val="ctr"/>
        <c:lblOffset val="100"/>
        <c:noMultiLvlLbl val="0"/>
      </c:catAx>
      <c:valAx>
        <c:axId val="316644216"/>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316646568"/>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55674250000000003"/>
          <c:h val="0.89395492112495856"/>
        </c:manualLayout>
      </c:layout>
      <c:barChart>
        <c:barDir val="col"/>
        <c:grouping val="stacked"/>
        <c:varyColors val="0"/>
        <c:ser>
          <c:idx val="1"/>
          <c:order val="0"/>
          <c:tx>
            <c:strRef>
              <c:f>Grafer!$B$102</c:f>
              <c:strCache>
                <c:ptCount val="1"/>
                <c:pt idx="0">
                  <c:v>Elimport (fossilbaseret)</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Grafer!$C$102:$G$102</c:f>
              <c:numCache>
                <c:formatCode>#,##0</c:formatCode>
                <c:ptCount val="5"/>
                <c:pt idx="0">
                  <c:v>-73.331285451328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57-4F0D-968F-7A62ED6696B9}"/>
            </c:ext>
          </c:extLst>
        </c:ser>
        <c:ser>
          <c:idx val="2"/>
          <c:order val="1"/>
          <c:tx>
            <c:strRef>
              <c:f>Grafer!$B$103</c:f>
              <c:strCache>
                <c:ptCount val="1"/>
                <c:pt idx="0">
                  <c:v>Kul</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Grafer!$C$103:$G$103</c:f>
              <c:numCache>
                <c:formatCode>#,##0</c:formatCode>
                <c:ptCount val="5"/>
                <c:pt idx="0">
                  <c:v>9.3000000000000007</c:v>
                </c:pt>
                <c:pt idx="1">
                  <c:v>8.9280000000000008</c:v>
                </c:pt>
                <c:pt idx="2">
                  <c:v>8.370000000000001</c:v>
                </c:pt>
                <c:pt idx="3">
                  <c:v>0</c:v>
                </c:pt>
                <c:pt idx="4">
                  <c:v>0</c:v>
                </c:pt>
              </c:numCache>
            </c:numRef>
          </c:val>
          <c:extLst xmlns:c16r2="http://schemas.microsoft.com/office/drawing/2015/06/chart">
            <c:ext xmlns:c16="http://schemas.microsoft.com/office/drawing/2014/chart" uri="{C3380CC4-5D6E-409C-BE32-E72D297353CC}">
              <c16:uniqueId val="{00000001-2857-4F0D-968F-7A62ED6696B9}"/>
            </c:ext>
          </c:extLst>
        </c:ser>
        <c:ser>
          <c:idx val="3"/>
          <c:order val="2"/>
          <c:tx>
            <c:strRef>
              <c:f>Grafer!$B$104</c:f>
              <c:strCache>
                <c:ptCount val="1"/>
                <c:pt idx="0">
                  <c:v>Naturgas og LPG</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Grafer!$C$104:$G$104</c:f>
              <c:numCache>
                <c:formatCode>#,##0</c:formatCode>
                <c:ptCount val="5"/>
                <c:pt idx="0">
                  <c:v>1281.4999999999998</c:v>
                </c:pt>
                <c:pt idx="1">
                  <c:v>1088.4923199999998</c:v>
                </c:pt>
                <c:pt idx="2">
                  <c:v>1084.8837999999998</c:v>
                </c:pt>
                <c:pt idx="3">
                  <c:v>0</c:v>
                </c:pt>
                <c:pt idx="4">
                  <c:v>0</c:v>
                </c:pt>
              </c:numCache>
            </c:numRef>
          </c:val>
          <c:extLst xmlns:c16r2="http://schemas.microsoft.com/office/drawing/2015/06/chart">
            <c:ext xmlns:c16="http://schemas.microsoft.com/office/drawing/2014/chart" uri="{C3380CC4-5D6E-409C-BE32-E72D297353CC}">
              <c16:uniqueId val="{00000002-2857-4F0D-968F-7A62ED6696B9}"/>
            </c:ext>
          </c:extLst>
        </c:ser>
        <c:ser>
          <c:idx val="4"/>
          <c:order val="3"/>
          <c:tx>
            <c:strRef>
              <c:f>Grafer!$B$105</c:f>
              <c:strCache>
                <c:ptCount val="1"/>
                <c:pt idx="0">
                  <c:v>Fuelolie</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Grafer!$C$105:$G$105</c:f>
              <c:numCache>
                <c:formatCode>#,##0</c:formatCode>
                <c:ptCount val="5"/>
                <c:pt idx="0">
                  <c:v>0.1</c:v>
                </c:pt>
                <c:pt idx="1">
                  <c:v>9.5000000000000001E-2</c:v>
                </c:pt>
                <c:pt idx="2">
                  <c:v>9.5000000000000001E-2</c:v>
                </c:pt>
                <c:pt idx="3">
                  <c:v>0</c:v>
                </c:pt>
                <c:pt idx="4">
                  <c:v>0</c:v>
                </c:pt>
              </c:numCache>
            </c:numRef>
          </c:val>
          <c:extLst xmlns:c16r2="http://schemas.microsoft.com/office/drawing/2015/06/chart">
            <c:ext xmlns:c16="http://schemas.microsoft.com/office/drawing/2014/chart" uri="{C3380CC4-5D6E-409C-BE32-E72D297353CC}">
              <c16:uniqueId val="{00000003-2857-4F0D-968F-7A62ED6696B9}"/>
            </c:ext>
          </c:extLst>
        </c:ser>
        <c:ser>
          <c:idx val="5"/>
          <c:order val="4"/>
          <c:tx>
            <c:strRef>
              <c:f>Grafer!$B$106</c:f>
              <c:strCache>
                <c:ptCount val="1"/>
                <c:pt idx="0">
                  <c:v>Brændselsolie/diesel</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Grafer!$C$106:$G$106</c:f>
              <c:numCache>
                <c:formatCode>#,##0</c:formatCode>
                <c:ptCount val="5"/>
                <c:pt idx="0">
                  <c:v>2041.9823000000001</c:v>
                </c:pt>
                <c:pt idx="1">
                  <c:v>1694.640247</c:v>
                </c:pt>
                <c:pt idx="2">
                  <c:v>1059.85546</c:v>
                </c:pt>
                <c:pt idx="3">
                  <c:v>0</c:v>
                </c:pt>
                <c:pt idx="4">
                  <c:v>0</c:v>
                </c:pt>
              </c:numCache>
            </c:numRef>
          </c:val>
          <c:extLst xmlns:c16r2="http://schemas.microsoft.com/office/drawing/2015/06/chart">
            <c:ext xmlns:c16="http://schemas.microsoft.com/office/drawing/2014/chart" uri="{C3380CC4-5D6E-409C-BE32-E72D297353CC}">
              <c16:uniqueId val="{00000004-2857-4F0D-968F-7A62ED6696B9}"/>
            </c:ext>
          </c:extLst>
        </c:ser>
        <c:ser>
          <c:idx val="14"/>
          <c:order val="5"/>
          <c:tx>
            <c:strRef>
              <c:f>Grafer!$B$107</c:f>
              <c:strCache>
                <c:ptCount val="1"/>
                <c:pt idx="0">
                  <c:v>JP1</c:v>
                </c:pt>
              </c:strCache>
            </c:strRef>
          </c:tx>
          <c:spPr>
            <a:solidFill>
              <a:srgbClr val="D9AAA9"/>
            </a:solidFill>
          </c:spPr>
          <c:invertIfNegative val="0"/>
          <c:cat>
            <c:strRef>
              <c:f>Grafer!$C$101:$G$101</c:f>
              <c:strCache>
                <c:ptCount val="5"/>
                <c:pt idx="0">
                  <c:v>2018</c:v>
                </c:pt>
                <c:pt idx="1">
                  <c:v>BAU2030</c:v>
                </c:pt>
                <c:pt idx="2">
                  <c:v>BAU2050</c:v>
                </c:pt>
                <c:pt idx="3">
                  <c:v>Mål 2030</c:v>
                </c:pt>
                <c:pt idx="4">
                  <c:v>Mål 2050</c:v>
                </c:pt>
              </c:strCache>
            </c:strRef>
          </c:cat>
          <c:val>
            <c:numRef>
              <c:f>Grafer!$C$107:$G$107</c:f>
              <c:numCache>
                <c:formatCode>#,##0</c:formatCode>
                <c:ptCount val="5"/>
                <c:pt idx="0">
                  <c:v>760.2</c:v>
                </c:pt>
                <c:pt idx="1">
                  <c:v>813.4140000000001</c:v>
                </c:pt>
                <c:pt idx="2">
                  <c:v>912.24</c:v>
                </c:pt>
                <c:pt idx="3">
                  <c:v>0</c:v>
                </c:pt>
                <c:pt idx="4">
                  <c:v>0</c:v>
                </c:pt>
              </c:numCache>
            </c:numRef>
          </c:val>
          <c:extLst xmlns:c16r2="http://schemas.microsoft.com/office/drawing/2015/06/chart">
            <c:ext xmlns:c16="http://schemas.microsoft.com/office/drawing/2014/chart" uri="{C3380CC4-5D6E-409C-BE32-E72D297353CC}">
              <c16:uniqueId val="{00000005-2857-4F0D-968F-7A62ED6696B9}"/>
            </c:ext>
          </c:extLst>
        </c:ser>
        <c:ser>
          <c:idx val="6"/>
          <c:order val="6"/>
          <c:tx>
            <c:strRef>
              <c:f>Grafer!$B$108</c:f>
              <c:strCache>
                <c:ptCount val="1"/>
                <c:pt idx="0">
                  <c:v>Benzin</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Grafer!$C$108:$G$108</c:f>
              <c:numCache>
                <c:formatCode>#,##0</c:formatCode>
                <c:ptCount val="5"/>
                <c:pt idx="0">
                  <c:v>996.6413</c:v>
                </c:pt>
                <c:pt idx="1">
                  <c:v>787.57062700000006</c:v>
                </c:pt>
                <c:pt idx="2">
                  <c:v>200.12826000000001</c:v>
                </c:pt>
                <c:pt idx="3">
                  <c:v>0</c:v>
                </c:pt>
                <c:pt idx="4">
                  <c:v>0</c:v>
                </c:pt>
              </c:numCache>
            </c:numRef>
          </c:val>
          <c:extLst xmlns:c16r2="http://schemas.microsoft.com/office/drawing/2015/06/chart">
            <c:ext xmlns:c16="http://schemas.microsoft.com/office/drawing/2014/chart" uri="{C3380CC4-5D6E-409C-BE32-E72D297353CC}">
              <c16:uniqueId val="{00000006-2857-4F0D-968F-7A62ED6696B9}"/>
            </c:ext>
          </c:extLst>
        </c:ser>
        <c:ser>
          <c:idx val="7"/>
          <c:order val="7"/>
          <c:tx>
            <c:strRef>
              <c:f>Grafer!$B$109</c:f>
              <c:strCache>
                <c:ptCount val="1"/>
                <c:pt idx="0">
                  <c:v>Affald, ikke bionedbrydeligt</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Grafer!$C$109:$G$109</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7-2857-4F0D-968F-7A62ED6696B9}"/>
            </c:ext>
          </c:extLst>
        </c:ser>
        <c:ser>
          <c:idx val="8"/>
          <c:order val="8"/>
          <c:tx>
            <c:strRef>
              <c:f>Grafer!$B$110</c:f>
              <c:strCache>
                <c:ptCount val="1"/>
                <c:pt idx="0">
                  <c:v>Affald, bionedbrydeligt</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Grafer!$C$110:$G$110</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8-2857-4F0D-968F-7A62ED6696B9}"/>
            </c:ext>
          </c:extLst>
        </c:ser>
        <c:ser>
          <c:idx val="9"/>
          <c:order val="9"/>
          <c:tx>
            <c:strRef>
              <c:f>Grafer!$B$111</c:f>
              <c:strCache>
                <c:ptCount val="1"/>
                <c:pt idx="0">
                  <c:v>Biomasse</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Grafer!$C$111:$G$111</c:f>
              <c:numCache>
                <c:formatCode>#,##0</c:formatCode>
                <c:ptCount val="5"/>
                <c:pt idx="0">
                  <c:v>3614.7764000000002</c:v>
                </c:pt>
                <c:pt idx="1">
                  <c:v>3478.8279200000002</c:v>
                </c:pt>
                <c:pt idx="2">
                  <c:v>3221.9262800000006</c:v>
                </c:pt>
                <c:pt idx="3">
                  <c:v>0</c:v>
                </c:pt>
                <c:pt idx="4">
                  <c:v>0</c:v>
                </c:pt>
              </c:numCache>
            </c:numRef>
          </c:val>
          <c:extLst xmlns:c16r2="http://schemas.microsoft.com/office/drawing/2015/06/chart">
            <c:ext xmlns:c16="http://schemas.microsoft.com/office/drawing/2014/chart" uri="{C3380CC4-5D6E-409C-BE32-E72D297353CC}">
              <c16:uniqueId val="{00000009-2857-4F0D-968F-7A62ED6696B9}"/>
            </c:ext>
          </c:extLst>
        </c:ser>
        <c:ser>
          <c:idx val="10"/>
          <c:order val="10"/>
          <c:tx>
            <c:strRef>
              <c:f>Grafer!$B$112</c:f>
              <c:strCache>
                <c:ptCount val="1"/>
                <c:pt idx="0">
                  <c:v>Vindenergi</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Grafer!$C$112:$G$112</c:f>
              <c:numCache>
                <c:formatCode>#,##0</c:formatCode>
                <c:ptCount val="5"/>
                <c:pt idx="0">
                  <c:v>1209.5999999999999</c:v>
                </c:pt>
                <c:pt idx="1">
                  <c:v>2195.6</c:v>
                </c:pt>
                <c:pt idx="2">
                  <c:v>2195.6</c:v>
                </c:pt>
                <c:pt idx="3">
                  <c:v>0</c:v>
                </c:pt>
                <c:pt idx="4">
                  <c:v>0</c:v>
                </c:pt>
              </c:numCache>
            </c:numRef>
          </c:val>
          <c:extLst xmlns:c16r2="http://schemas.microsoft.com/office/drawing/2015/06/chart">
            <c:ext xmlns:c16="http://schemas.microsoft.com/office/drawing/2014/chart" uri="{C3380CC4-5D6E-409C-BE32-E72D297353CC}">
              <c16:uniqueId val="{0000000A-2857-4F0D-968F-7A62ED6696B9}"/>
            </c:ext>
          </c:extLst>
        </c:ser>
        <c:ser>
          <c:idx val="11"/>
          <c:order val="11"/>
          <c:tx>
            <c:strRef>
              <c:f>Grafer!$B$113</c:f>
              <c:strCache>
                <c:ptCount val="1"/>
                <c:pt idx="0">
                  <c:v>Biogas</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Grafer!$C$113:$G$113</c:f>
              <c:numCache>
                <c:formatCode>#,##0</c:formatCode>
                <c:ptCount val="5"/>
                <c:pt idx="0">
                  <c:v>30.7</c:v>
                </c:pt>
                <c:pt idx="1">
                  <c:v>29.472000000000001</c:v>
                </c:pt>
                <c:pt idx="2">
                  <c:v>27.630000000000003</c:v>
                </c:pt>
                <c:pt idx="3">
                  <c:v>0</c:v>
                </c:pt>
                <c:pt idx="4">
                  <c:v>0</c:v>
                </c:pt>
              </c:numCache>
            </c:numRef>
          </c:val>
          <c:extLst xmlns:c16r2="http://schemas.microsoft.com/office/drawing/2015/06/chart">
            <c:ext xmlns:c16="http://schemas.microsoft.com/office/drawing/2014/chart" uri="{C3380CC4-5D6E-409C-BE32-E72D297353CC}">
              <c16:uniqueId val="{0000000B-2857-4F0D-968F-7A62ED6696B9}"/>
            </c:ext>
          </c:extLst>
        </c:ser>
        <c:ser>
          <c:idx val="12"/>
          <c:order val="12"/>
          <c:tx>
            <c:strRef>
              <c:f>Grafer!$B$114</c:f>
              <c:strCache>
                <c:ptCount val="1"/>
                <c:pt idx="0">
                  <c:v>Solenergi</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Grafer!$C$114:$G$114</c:f>
              <c:numCache>
                <c:formatCode>#,##0</c:formatCode>
                <c:ptCount val="5"/>
                <c:pt idx="0">
                  <c:v>73.099999999999994</c:v>
                </c:pt>
                <c:pt idx="1">
                  <c:v>237.26000000000002</c:v>
                </c:pt>
                <c:pt idx="2">
                  <c:v>237.26000000000002</c:v>
                </c:pt>
                <c:pt idx="3">
                  <c:v>0</c:v>
                </c:pt>
                <c:pt idx="4">
                  <c:v>0</c:v>
                </c:pt>
              </c:numCache>
            </c:numRef>
          </c:val>
          <c:extLst xmlns:c16r2="http://schemas.microsoft.com/office/drawing/2015/06/chart">
            <c:ext xmlns:c16="http://schemas.microsoft.com/office/drawing/2014/chart" uri="{C3380CC4-5D6E-409C-BE32-E72D297353CC}">
              <c16:uniqueId val="{0000000C-2857-4F0D-968F-7A62ED6696B9}"/>
            </c:ext>
          </c:extLst>
        </c:ser>
        <c:ser>
          <c:idx val="0"/>
          <c:order val="13"/>
          <c:tx>
            <c:strRef>
              <c:f>Grafer!$B$115</c:f>
              <c:strCache>
                <c:ptCount val="1"/>
                <c:pt idx="0">
                  <c:v>Jordvarme, geotermi, vandkraft mm.</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Grafer!$C$115:$G$115</c:f>
              <c:numCache>
                <c:formatCode>#,##0</c:formatCode>
                <c:ptCount val="5"/>
                <c:pt idx="0">
                  <c:v>18</c:v>
                </c:pt>
                <c:pt idx="1">
                  <c:v>105.99333333333333</c:v>
                </c:pt>
                <c:pt idx="2">
                  <c:v>273</c:v>
                </c:pt>
                <c:pt idx="3">
                  <c:v>0</c:v>
                </c:pt>
                <c:pt idx="4">
                  <c:v>0</c:v>
                </c:pt>
              </c:numCache>
            </c:numRef>
          </c:val>
          <c:extLst xmlns:c16r2="http://schemas.microsoft.com/office/drawing/2015/06/chart">
            <c:ext xmlns:c16="http://schemas.microsoft.com/office/drawing/2014/chart" uri="{C3380CC4-5D6E-409C-BE32-E72D297353CC}">
              <c16:uniqueId val="{0000000D-2857-4F0D-968F-7A62ED6696B9}"/>
            </c:ext>
          </c:extLst>
        </c:ser>
        <c:ser>
          <c:idx val="13"/>
          <c:order val="14"/>
          <c:tx>
            <c:strRef>
              <c:f>Grafer!$B$116</c:f>
              <c:strCache>
                <c:ptCount val="1"/>
                <c:pt idx="0">
                  <c:v>Elimport (VE-baseret)</c:v>
                </c:pt>
              </c:strCache>
            </c:strRef>
          </c:tx>
          <c:spPr>
            <a:solidFill>
              <a:srgbClr val="C6D6AC"/>
            </a:solidFill>
          </c:spPr>
          <c:invertIfNegative val="0"/>
          <c:cat>
            <c:strRef>
              <c:f>Grafer!$C$101:$G$101</c:f>
              <c:strCache>
                <c:ptCount val="5"/>
                <c:pt idx="0">
                  <c:v>2018</c:v>
                </c:pt>
                <c:pt idx="1">
                  <c:v>BAU2030</c:v>
                </c:pt>
                <c:pt idx="2">
                  <c:v>BAU2050</c:v>
                </c:pt>
                <c:pt idx="3">
                  <c:v>Mål 2030</c:v>
                </c:pt>
                <c:pt idx="4">
                  <c:v>Mål 2050</c:v>
                </c:pt>
              </c:strCache>
            </c:strRef>
          </c:cat>
          <c:val>
            <c:numRef>
              <c:f>Grafer!$C$116:$G$116</c:f>
              <c:numCache>
                <c:formatCode>#,##0</c:formatCode>
                <c:ptCount val="5"/>
                <c:pt idx="0">
                  <c:v>-57.61743856890056</c:v>
                </c:pt>
                <c:pt idx="1">
                  <c:v>-988.62884322060302</c:v>
                </c:pt>
                <c:pt idx="2">
                  <c:v>-474.44595351550436</c:v>
                </c:pt>
                <c:pt idx="3">
                  <c:v>0</c:v>
                </c:pt>
                <c:pt idx="4">
                  <c:v>0</c:v>
                </c:pt>
              </c:numCache>
            </c:numRef>
          </c:val>
          <c:extLst xmlns:c16r2="http://schemas.microsoft.com/office/drawing/2015/06/chart">
            <c:ext xmlns:c16="http://schemas.microsoft.com/office/drawing/2014/chart" uri="{C3380CC4-5D6E-409C-BE32-E72D297353CC}">
              <c16:uniqueId val="{0000000E-2857-4F0D-968F-7A62ED6696B9}"/>
            </c:ext>
          </c:extLst>
        </c:ser>
        <c:dLbls>
          <c:showLegendKey val="0"/>
          <c:showVal val="0"/>
          <c:showCatName val="0"/>
          <c:showSerName val="0"/>
          <c:showPercent val="0"/>
          <c:showBubbleSize val="0"/>
        </c:dLbls>
        <c:gapWidth val="150"/>
        <c:overlap val="100"/>
        <c:axId val="316645000"/>
        <c:axId val="312696224"/>
      </c:barChart>
      <c:catAx>
        <c:axId val="3166450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2696224"/>
        <c:crosses val="autoZero"/>
        <c:auto val="1"/>
        <c:lblAlgn val="ctr"/>
        <c:lblOffset val="100"/>
        <c:noMultiLvlLbl val="0"/>
      </c:catAx>
      <c:valAx>
        <c:axId val="312696224"/>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45000"/>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088" l="0.70000000000000062" r="0.70000000000000062" t="0.7500000000000108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Grafer!$C$101</c:f>
              <c:strCache>
                <c:ptCount val="1"/>
                <c:pt idx="0">
                  <c:v>2018</c:v>
                </c:pt>
              </c:strCache>
            </c:strRef>
          </c:tx>
          <c:spPr>
            <a:solidFill>
              <a:schemeClr val="accent5"/>
            </a:solidFill>
          </c:spPr>
          <c:invertIfNegative val="0"/>
          <c:cat>
            <c:strRef>
              <c:f>Grafer!$B$102:$B$116</c:f>
              <c:strCache>
                <c:ptCount val="15"/>
                <c:pt idx="0">
                  <c:v>Elimport (fossilbaseret)</c:v>
                </c:pt>
                <c:pt idx="1">
                  <c:v>Kul</c:v>
                </c:pt>
                <c:pt idx="2">
                  <c:v>Naturgas og LPG</c:v>
                </c:pt>
                <c:pt idx="3">
                  <c:v>Fuelolie</c:v>
                </c:pt>
                <c:pt idx="4">
                  <c:v>Brændselsolie/diesel</c:v>
                </c:pt>
                <c:pt idx="5">
                  <c:v>JP1</c:v>
                </c:pt>
                <c:pt idx="6">
                  <c:v>Benzin</c:v>
                </c:pt>
                <c:pt idx="7">
                  <c:v>Affald, ikke bionedbrydeligt</c:v>
                </c:pt>
                <c:pt idx="8">
                  <c:v>Affald, bionedbrydeligt</c:v>
                </c:pt>
                <c:pt idx="9">
                  <c:v>Biomasse</c:v>
                </c:pt>
                <c:pt idx="10">
                  <c:v>Vindenergi</c:v>
                </c:pt>
                <c:pt idx="11">
                  <c:v>Biogas</c:v>
                </c:pt>
                <c:pt idx="12">
                  <c:v>Solenergi</c:v>
                </c:pt>
                <c:pt idx="13">
                  <c:v>Jordvarme, geotermi, vandkraft mm.</c:v>
                </c:pt>
                <c:pt idx="14">
                  <c:v>Elimport (VE-baseret)</c:v>
                </c:pt>
              </c:strCache>
            </c:strRef>
          </c:cat>
          <c:val>
            <c:numRef>
              <c:f>Grafer!$C$102:$C$116</c:f>
              <c:numCache>
                <c:formatCode>#,##0</c:formatCode>
                <c:ptCount val="15"/>
                <c:pt idx="0">
                  <c:v>-73.331285451328</c:v>
                </c:pt>
                <c:pt idx="1">
                  <c:v>9.3000000000000007</c:v>
                </c:pt>
                <c:pt idx="2">
                  <c:v>1281.4999999999998</c:v>
                </c:pt>
                <c:pt idx="3">
                  <c:v>0.1</c:v>
                </c:pt>
                <c:pt idx="4">
                  <c:v>2041.9823000000001</c:v>
                </c:pt>
                <c:pt idx="5">
                  <c:v>760.2</c:v>
                </c:pt>
                <c:pt idx="6">
                  <c:v>996.6413</c:v>
                </c:pt>
                <c:pt idx="7">
                  <c:v>0</c:v>
                </c:pt>
                <c:pt idx="8">
                  <c:v>0</c:v>
                </c:pt>
                <c:pt idx="9">
                  <c:v>3614.7764000000002</c:v>
                </c:pt>
                <c:pt idx="10">
                  <c:v>1209.5999999999999</c:v>
                </c:pt>
                <c:pt idx="11">
                  <c:v>30.7</c:v>
                </c:pt>
                <c:pt idx="12">
                  <c:v>73.099999999999994</c:v>
                </c:pt>
                <c:pt idx="13">
                  <c:v>18</c:v>
                </c:pt>
                <c:pt idx="14">
                  <c:v>-57.61743856890056</c:v>
                </c:pt>
              </c:numCache>
            </c:numRef>
          </c:val>
          <c:extLst xmlns:c16r2="http://schemas.microsoft.com/office/drawing/2015/06/chart">
            <c:ext xmlns:c16="http://schemas.microsoft.com/office/drawing/2014/chart" uri="{C3380CC4-5D6E-409C-BE32-E72D297353CC}">
              <c16:uniqueId val="{00000000-AE48-433E-8EEA-39856ECE24AB}"/>
            </c:ext>
          </c:extLst>
        </c:ser>
        <c:ser>
          <c:idx val="3"/>
          <c:order val="1"/>
          <c:tx>
            <c:strRef>
              <c:f>Grafer!$H$101</c:f>
              <c:strCache>
                <c:ptCount val="1"/>
              </c:strCache>
            </c:strRef>
          </c:tx>
          <c:invertIfNegative val="0"/>
          <c:cat>
            <c:strRef>
              <c:f>Grafer!$B$102:$B$116</c:f>
              <c:strCache>
                <c:ptCount val="15"/>
                <c:pt idx="0">
                  <c:v>Elimport (fossilbaseret)</c:v>
                </c:pt>
                <c:pt idx="1">
                  <c:v>Kul</c:v>
                </c:pt>
                <c:pt idx="2">
                  <c:v>Naturgas og LPG</c:v>
                </c:pt>
                <c:pt idx="3">
                  <c:v>Fuelolie</c:v>
                </c:pt>
                <c:pt idx="4">
                  <c:v>Brændselsolie/diesel</c:v>
                </c:pt>
                <c:pt idx="5">
                  <c:v>JP1</c:v>
                </c:pt>
                <c:pt idx="6">
                  <c:v>Benzin</c:v>
                </c:pt>
                <c:pt idx="7">
                  <c:v>Affald, ikke bionedbrydeligt</c:v>
                </c:pt>
                <c:pt idx="8">
                  <c:v>Affald, bionedbrydeligt</c:v>
                </c:pt>
                <c:pt idx="9">
                  <c:v>Biomasse</c:v>
                </c:pt>
                <c:pt idx="10">
                  <c:v>Vindenergi</c:v>
                </c:pt>
                <c:pt idx="11">
                  <c:v>Biogas</c:v>
                </c:pt>
                <c:pt idx="12">
                  <c:v>Solenergi</c:v>
                </c:pt>
                <c:pt idx="13">
                  <c:v>Jordvarme, geotermi, vandkraft mm.</c:v>
                </c:pt>
                <c:pt idx="14">
                  <c:v>Elimport (VE-baseret)</c:v>
                </c:pt>
              </c:strCache>
            </c:strRef>
          </c:cat>
          <c:val>
            <c:numRef>
              <c:f>Grafer!$H$102:$H$116</c:f>
              <c:numCache>
                <c:formatCode>#,##0</c:formatCode>
                <c:ptCount val="15"/>
              </c:numCache>
            </c:numRef>
          </c:val>
          <c:extLst xmlns:c16r2="http://schemas.microsoft.com/office/drawing/2015/06/chart">
            <c:ext xmlns:c16="http://schemas.microsoft.com/office/drawing/2014/chart" uri="{C3380CC4-5D6E-409C-BE32-E72D297353CC}">
              <c16:uniqueId val="{00000001-AE48-433E-8EEA-39856ECE24AB}"/>
            </c:ext>
          </c:extLst>
        </c:ser>
        <c:dLbls>
          <c:showLegendKey val="0"/>
          <c:showVal val="0"/>
          <c:showCatName val="0"/>
          <c:showSerName val="0"/>
          <c:showPercent val="0"/>
          <c:showBubbleSize val="0"/>
        </c:dLbls>
        <c:gapWidth val="150"/>
        <c:axId val="139418656"/>
        <c:axId val="315571208"/>
      </c:barChart>
      <c:catAx>
        <c:axId val="139418656"/>
        <c:scaling>
          <c:orientation val="minMax"/>
        </c:scaling>
        <c:delete val="0"/>
        <c:axPos val="b"/>
        <c:numFmt formatCode="General" sourceLinked="1"/>
        <c:majorTickMark val="out"/>
        <c:minorTickMark val="none"/>
        <c:tickLblPos val="low"/>
        <c:txPr>
          <a:bodyPr rot="-5400000" vert="horz"/>
          <a:lstStyle/>
          <a:p>
            <a:pPr>
              <a:defRPr/>
            </a:pPr>
            <a:endParaRPr lang="da-DK"/>
          </a:p>
        </c:txPr>
        <c:crossAx val="315571208"/>
        <c:crossesAt val="0"/>
        <c:auto val="1"/>
        <c:lblAlgn val="ctr"/>
        <c:lblOffset val="100"/>
        <c:noMultiLvlLbl val="0"/>
      </c:catAx>
      <c:valAx>
        <c:axId val="315571208"/>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139418656"/>
        <c:crosses val="autoZero"/>
        <c:crossBetween val="between"/>
      </c:valAx>
      <c:spPr>
        <a:noFill/>
      </c:spPr>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Grafer!$C$101</c:f>
              <c:strCache>
                <c:ptCount val="1"/>
                <c:pt idx="0">
                  <c:v>2018</c:v>
                </c:pt>
              </c:strCache>
            </c:strRef>
          </c:tx>
          <c:spPr>
            <a:solidFill>
              <a:schemeClr val="accent5"/>
            </a:solidFill>
          </c:spPr>
          <c:invertIfNegative val="0"/>
          <c:cat>
            <c:strRef>
              <c:f>Grafer!$B$110:$B$116</c:f>
              <c:strCache>
                <c:ptCount val="7"/>
                <c:pt idx="0">
                  <c:v>Affald, bionedbrydeligt</c:v>
                </c:pt>
                <c:pt idx="1">
                  <c:v>Biomasse</c:v>
                </c:pt>
                <c:pt idx="2">
                  <c:v>Vindenergi</c:v>
                </c:pt>
                <c:pt idx="3">
                  <c:v>Biogas</c:v>
                </c:pt>
                <c:pt idx="4">
                  <c:v>Solenergi</c:v>
                </c:pt>
                <c:pt idx="5">
                  <c:v>Jordvarme, geotermi, vandkraft mm.</c:v>
                </c:pt>
                <c:pt idx="6">
                  <c:v>Elimport (VE-baseret)</c:v>
                </c:pt>
              </c:strCache>
            </c:strRef>
          </c:cat>
          <c:val>
            <c:numRef>
              <c:f>Grafer!$C$110:$C$116</c:f>
              <c:numCache>
                <c:formatCode>#,##0</c:formatCode>
                <c:ptCount val="7"/>
                <c:pt idx="0">
                  <c:v>0</c:v>
                </c:pt>
                <c:pt idx="1">
                  <c:v>3614.7764000000002</c:v>
                </c:pt>
                <c:pt idx="2">
                  <c:v>1209.5999999999999</c:v>
                </c:pt>
                <c:pt idx="3">
                  <c:v>30.7</c:v>
                </c:pt>
                <c:pt idx="4">
                  <c:v>73.099999999999994</c:v>
                </c:pt>
                <c:pt idx="5">
                  <c:v>18</c:v>
                </c:pt>
                <c:pt idx="6">
                  <c:v>-57.61743856890056</c:v>
                </c:pt>
              </c:numCache>
            </c:numRef>
          </c:val>
          <c:extLst xmlns:c16r2="http://schemas.microsoft.com/office/drawing/2015/06/chart">
            <c:ext xmlns:c16="http://schemas.microsoft.com/office/drawing/2014/chart" uri="{C3380CC4-5D6E-409C-BE32-E72D297353CC}">
              <c16:uniqueId val="{00000000-EB78-4F1D-A9BF-9F815844292F}"/>
            </c:ext>
          </c:extLst>
        </c:ser>
        <c:ser>
          <c:idx val="3"/>
          <c:order val="1"/>
          <c:tx>
            <c:strRef>
              <c:f>Grafer!$H$101</c:f>
              <c:strCache>
                <c:ptCount val="1"/>
              </c:strCache>
            </c:strRef>
          </c:tx>
          <c:invertIfNegative val="0"/>
          <c:cat>
            <c:strRef>
              <c:f>Grafer!$B$110:$B$116</c:f>
              <c:strCache>
                <c:ptCount val="7"/>
                <c:pt idx="0">
                  <c:v>Affald, bionedbrydeligt</c:v>
                </c:pt>
                <c:pt idx="1">
                  <c:v>Biomasse</c:v>
                </c:pt>
                <c:pt idx="2">
                  <c:v>Vindenergi</c:v>
                </c:pt>
                <c:pt idx="3">
                  <c:v>Biogas</c:v>
                </c:pt>
                <c:pt idx="4">
                  <c:v>Solenergi</c:v>
                </c:pt>
                <c:pt idx="5">
                  <c:v>Jordvarme, geotermi, vandkraft mm.</c:v>
                </c:pt>
                <c:pt idx="6">
                  <c:v>Elimport (VE-baseret)</c:v>
                </c:pt>
              </c:strCache>
            </c:strRef>
          </c:cat>
          <c:val>
            <c:numRef>
              <c:f>Grafer!$H$110:$H$116</c:f>
              <c:numCache>
                <c:formatCode>#,##0</c:formatCode>
                <c:ptCount val="7"/>
              </c:numCache>
            </c:numRef>
          </c:val>
          <c:extLst xmlns:c16r2="http://schemas.microsoft.com/office/drawing/2015/06/chart">
            <c:ext xmlns:c16="http://schemas.microsoft.com/office/drawing/2014/chart" uri="{C3380CC4-5D6E-409C-BE32-E72D297353CC}">
              <c16:uniqueId val="{00000001-EB78-4F1D-A9BF-9F815844292F}"/>
            </c:ext>
          </c:extLst>
        </c:ser>
        <c:dLbls>
          <c:showLegendKey val="0"/>
          <c:showVal val="0"/>
          <c:showCatName val="0"/>
          <c:showSerName val="0"/>
          <c:showPercent val="0"/>
          <c:showBubbleSize val="0"/>
        </c:dLbls>
        <c:gapWidth val="150"/>
        <c:axId val="315564936"/>
        <c:axId val="315569640"/>
      </c:barChart>
      <c:catAx>
        <c:axId val="315564936"/>
        <c:scaling>
          <c:orientation val="minMax"/>
        </c:scaling>
        <c:delete val="0"/>
        <c:axPos val="b"/>
        <c:numFmt formatCode="General" sourceLinked="0"/>
        <c:majorTickMark val="out"/>
        <c:minorTickMark val="none"/>
        <c:tickLblPos val="low"/>
        <c:crossAx val="315569640"/>
        <c:crosses val="autoZero"/>
        <c:auto val="1"/>
        <c:lblAlgn val="ctr"/>
        <c:lblOffset val="100"/>
        <c:noMultiLvlLbl val="0"/>
      </c:catAx>
      <c:valAx>
        <c:axId val="315569640"/>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315564936"/>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Grafer!$C$563</c:f>
              <c:strCache>
                <c:ptCount val="1"/>
                <c:pt idx="0">
                  <c:v>2018</c:v>
                </c:pt>
              </c:strCache>
            </c:strRef>
          </c:tx>
          <c:spPr>
            <a:solidFill>
              <a:schemeClr val="accent5"/>
            </a:solidFill>
          </c:spPr>
          <c:invertIfNegative val="0"/>
          <c:cat>
            <c:strRef>
              <c:f>Grafer!$B$564:$B$571</c:f>
              <c:strCache>
                <c:ptCount val="8"/>
                <c:pt idx="0">
                  <c:v>Elimport</c:v>
                </c:pt>
                <c:pt idx="1">
                  <c:v>Kul</c:v>
                </c:pt>
                <c:pt idx="2">
                  <c:v>Naturgas og LPG</c:v>
                </c:pt>
                <c:pt idx="3">
                  <c:v>Fuelolie</c:v>
                </c:pt>
                <c:pt idx="4">
                  <c:v>Brændselsolie/diesel</c:v>
                </c:pt>
                <c:pt idx="5">
                  <c:v>JP1</c:v>
                </c:pt>
                <c:pt idx="6">
                  <c:v>Benzin</c:v>
                </c:pt>
                <c:pt idx="7">
                  <c:v>Affald, ikke bionedbrydeligt</c:v>
                </c:pt>
              </c:strCache>
            </c:strRef>
          </c:cat>
          <c:val>
            <c:numRef>
              <c:f>Grafer!$C$564:$C$571</c:f>
              <c:numCache>
                <c:formatCode>#,##0</c:formatCode>
                <c:ptCount val="8"/>
                <c:pt idx="0">
                  <c:v>-16.253355625390768</c:v>
                </c:pt>
                <c:pt idx="1">
                  <c:v>0.88303500000000013</c:v>
                </c:pt>
                <c:pt idx="2">
                  <c:v>73.307799999999986</c:v>
                </c:pt>
                <c:pt idx="3">
                  <c:v>7.8840000000000004E-3</c:v>
                </c:pt>
                <c:pt idx="4">
                  <c:v>151.1066902</c:v>
                </c:pt>
                <c:pt idx="5">
                  <c:v>54.734400000000001</c:v>
                </c:pt>
                <c:pt idx="6">
                  <c:v>72.7548149</c:v>
                </c:pt>
                <c:pt idx="7">
                  <c:v>0</c:v>
                </c:pt>
              </c:numCache>
            </c:numRef>
          </c:val>
          <c:extLst xmlns:c16r2="http://schemas.microsoft.com/office/drawing/2015/06/chart">
            <c:ext xmlns:c16="http://schemas.microsoft.com/office/drawing/2014/chart" uri="{C3380CC4-5D6E-409C-BE32-E72D297353CC}">
              <c16:uniqueId val="{00000000-2C2A-430F-8E47-F46A09FEA170}"/>
            </c:ext>
          </c:extLst>
        </c:ser>
        <c:ser>
          <c:idx val="3"/>
          <c:order val="1"/>
          <c:tx>
            <c:strRef>
              <c:f>Grafer!$D$563</c:f>
              <c:strCache>
                <c:ptCount val="1"/>
                <c:pt idx="0">
                  <c:v>BAU2030</c:v>
                </c:pt>
              </c:strCache>
            </c:strRef>
          </c:tx>
          <c:invertIfNegative val="0"/>
          <c:cat>
            <c:strRef>
              <c:f>Grafer!$B$564:$B$571</c:f>
              <c:strCache>
                <c:ptCount val="8"/>
                <c:pt idx="0">
                  <c:v>Elimport</c:v>
                </c:pt>
                <c:pt idx="1">
                  <c:v>Kul</c:v>
                </c:pt>
                <c:pt idx="2">
                  <c:v>Naturgas og LPG</c:v>
                </c:pt>
                <c:pt idx="3">
                  <c:v>Fuelolie</c:v>
                </c:pt>
                <c:pt idx="4">
                  <c:v>Brændselsolie/diesel</c:v>
                </c:pt>
                <c:pt idx="5">
                  <c:v>JP1</c:v>
                </c:pt>
                <c:pt idx="6">
                  <c:v>Benzin</c:v>
                </c:pt>
                <c:pt idx="7">
                  <c:v>Affald, ikke bionedbrydeligt</c:v>
                </c:pt>
              </c:strCache>
            </c:strRef>
          </c:cat>
          <c:val>
            <c:numRef>
              <c:f>Grafer!$D$564:$D$571</c:f>
              <c:numCache>
                <c:formatCode>#,##0</c:formatCode>
                <c:ptCount val="8"/>
                <c:pt idx="0">
                  <c:v>0</c:v>
                </c:pt>
                <c:pt idx="1">
                  <c:v>0.84771360000000018</c:v>
                </c:pt>
                <c:pt idx="2">
                  <c:v>62.306362239999999</c:v>
                </c:pt>
                <c:pt idx="3">
                  <c:v>7.4898000000000005E-3</c:v>
                </c:pt>
                <c:pt idx="4">
                  <c:v>125.40337827799999</c:v>
                </c:pt>
                <c:pt idx="5">
                  <c:v>58.565808000000004</c:v>
                </c:pt>
                <c:pt idx="6">
                  <c:v>57.492655771000003</c:v>
                </c:pt>
                <c:pt idx="7">
                  <c:v>0</c:v>
                </c:pt>
              </c:numCache>
            </c:numRef>
          </c:val>
          <c:extLst xmlns:c16r2="http://schemas.microsoft.com/office/drawing/2015/06/chart">
            <c:ext xmlns:c16="http://schemas.microsoft.com/office/drawing/2014/chart" uri="{C3380CC4-5D6E-409C-BE32-E72D297353CC}">
              <c16:uniqueId val="{00000001-2C2A-430F-8E47-F46A09FEA170}"/>
            </c:ext>
          </c:extLst>
        </c:ser>
        <c:dLbls>
          <c:showLegendKey val="0"/>
          <c:showVal val="0"/>
          <c:showCatName val="0"/>
          <c:showSerName val="0"/>
          <c:showPercent val="0"/>
          <c:showBubbleSize val="0"/>
        </c:dLbls>
        <c:gapWidth val="150"/>
        <c:axId val="315568072"/>
        <c:axId val="315571992"/>
      </c:barChart>
      <c:catAx>
        <c:axId val="315568072"/>
        <c:scaling>
          <c:orientation val="minMax"/>
        </c:scaling>
        <c:delete val="0"/>
        <c:axPos val="b"/>
        <c:numFmt formatCode="General" sourceLinked="0"/>
        <c:majorTickMark val="out"/>
        <c:minorTickMark val="none"/>
        <c:tickLblPos val="low"/>
        <c:txPr>
          <a:bodyPr rot="-5400000" vert="horz"/>
          <a:lstStyle/>
          <a:p>
            <a:pPr>
              <a:defRPr/>
            </a:pPr>
            <a:endParaRPr lang="da-DK"/>
          </a:p>
        </c:txPr>
        <c:crossAx val="315571992"/>
        <c:crosses val="autoZero"/>
        <c:auto val="1"/>
        <c:lblAlgn val="ctr"/>
        <c:lblOffset val="100"/>
        <c:noMultiLvlLbl val="0"/>
      </c:catAx>
      <c:valAx>
        <c:axId val="315571992"/>
        <c:scaling>
          <c:orientation val="minMax"/>
        </c:scaling>
        <c:delete val="0"/>
        <c:axPos val="l"/>
        <c:majorGridlines/>
        <c:title>
          <c:tx>
            <c:rich>
              <a:bodyPr rot="-5400000" vert="horz"/>
              <a:lstStyle/>
              <a:p>
                <a:pPr>
                  <a:defRPr/>
                </a:pPr>
                <a:r>
                  <a:rPr lang="da-DK"/>
                  <a:t>1.000 tons/år</a:t>
                </a:r>
              </a:p>
            </c:rich>
          </c:tx>
          <c:overlay val="0"/>
        </c:title>
        <c:numFmt formatCode="#,##0" sourceLinked="1"/>
        <c:majorTickMark val="out"/>
        <c:minorTickMark val="none"/>
        <c:tickLblPos val="low"/>
        <c:crossAx val="315568072"/>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3214940314772"/>
          <c:y val="3.7044179154669281E-2"/>
          <c:w val="0.79820594021740876"/>
          <c:h val="0.83864677693940948"/>
        </c:manualLayout>
      </c:layout>
      <c:barChart>
        <c:barDir val="col"/>
        <c:grouping val="clustered"/>
        <c:varyColors val="0"/>
        <c:ser>
          <c:idx val="0"/>
          <c:order val="0"/>
          <c:tx>
            <c:strRef>
              <c:f>Grafer!$C$304</c:f>
              <c:strCache>
                <c:ptCount val="1"/>
                <c:pt idx="0">
                  <c:v>2018</c:v>
                </c:pt>
              </c:strCache>
            </c:strRef>
          </c:tx>
          <c:spPr>
            <a:solidFill>
              <a:schemeClr val="accent5"/>
            </a:solidFill>
          </c:spPr>
          <c:invertIfNegative val="0"/>
          <c:cat>
            <c:strRef>
              <c:f>Grafer!$B$305:$B$310</c:f>
              <c:strCache>
                <c:ptCount val="6"/>
                <c:pt idx="0">
                  <c:v>Individuel opvarmning</c:v>
                </c:pt>
                <c:pt idx="1">
                  <c:v>Kollektiv el- og varmeforsyning</c:v>
                </c:pt>
                <c:pt idx="2">
                  <c:v>Industri</c:v>
                </c:pt>
                <c:pt idx="3">
                  <c:v>Transport</c:v>
                </c:pt>
                <c:pt idx="4">
                  <c:v>Vindkraft mm.</c:v>
                </c:pt>
                <c:pt idx="5">
                  <c:v>El-import</c:v>
                </c:pt>
              </c:strCache>
            </c:strRef>
          </c:cat>
          <c:val>
            <c:numRef>
              <c:f>Grafer!$C$305:$C$310</c:f>
              <c:numCache>
                <c:formatCode>#,##0</c:formatCode>
                <c:ptCount val="6"/>
                <c:pt idx="0">
                  <c:v>1374.2</c:v>
                </c:pt>
                <c:pt idx="1">
                  <c:v>2890.4</c:v>
                </c:pt>
                <c:pt idx="2">
                  <c:v>770.9</c:v>
                </c:pt>
                <c:pt idx="3">
                  <c:v>3748.8</c:v>
                </c:pt>
                <c:pt idx="4">
                  <c:v>1251.5999999999999</c:v>
                </c:pt>
                <c:pt idx="5">
                  <c:v>-130.94872402022855</c:v>
                </c:pt>
              </c:numCache>
            </c:numRef>
          </c:val>
          <c:extLst xmlns:c16r2="http://schemas.microsoft.com/office/drawing/2015/06/chart">
            <c:ext xmlns:c16="http://schemas.microsoft.com/office/drawing/2014/chart" uri="{C3380CC4-5D6E-409C-BE32-E72D297353CC}">
              <c16:uniqueId val="{00000000-A52C-4AFC-B2A8-4AD2EDF9F935}"/>
            </c:ext>
          </c:extLst>
        </c:ser>
        <c:dLbls>
          <c:showLegendKey val="0"/>
          <c:showVal val="0"/>
          <c:showCatName val="0"/>
          <c:showSerName val="0"/>
          <c:showPercent val="0"/>
          <c:showBubbleSize val="0"/>
        </c:dLbls>
        <c:gapWidth val="150"/>
        <c:axId val="315563760"/>
        <c:axId val="315568464"/>
      </c:barChart>
      <c:catAx>
        <c:axId val="315563760"/>
        <c:scaling>
          <c:orientation val="minMax"/>
        </c:scaling>
        <c:delete val="0"/>
        <c:axPos val="b"/>
        <c:numFmt formatCode="General" sourceLinked="0"/>
        <c:majorTickMark val="out"/>
        <c:minorTickMark val="none"/>
        <c:tickLblPos val="low"/>
        <c:crossAx val="315568464"/>
        <c:crosses val="autoZero"/>
        <c:auto val="1"/>
        <c:lblAlgn val="ctr"/>
        <c:lblOffset val="100"/>
        <c:noMultiLvlLbl val="0"/>
      </c:catAx>
      <c:valAx>
        <c:axId val="315568464"/>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315563760"/>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Grafer!$D$403</c:f>
              <c:strCache>
                <c:ptCount val="1"/>
                <c:pt idx="0">
                  <c:v>VE</c:v>
                </c:pt>
              </c:strCache>
            </c:strRef>
          </c:tx>
          <c:spPr>
            <a:solidFill>
              <a:schemeClr val="accent3"/>
            </a:solidFill>
          </c:spPr>
          <c:invertIfNegative val="0"/>
          <c:cat>
            <c:multiLvlStrRef>
              <c:f>Grafer!$B$404:$C$415</c:f>
              <c:multiLvlStrCache>
                <c:ptCount val="12"/>
                <c:lvl>
                  <c:pt idx="0">
                    <c:v>2018</c:v>
                  </c:pt>
                  <c:pt idx="1">
                    <c:v>Mål2050</c:v>
                  </c:pt>
                  <c:pt idx="2">
                    <c:v>2018</c:v>
                  </c:pt>
                  <c:pt idx="3">
                    <c:v>Mål2050</c:v>
                  </c:pt>
                  <c:pt idx="4">
                    <c:v>2018</c:v>
                  </c:pt>
                  <c:pt idx="5">
                    <c:v>Mål2050</c:v>
                  </c:pt>
                  <c:pt idx="6">
                    <c:v>2018</c:v>
                  </c:pt>
                  <c:pt idx="7">
                    <c:v>Mål2050</c:v>
                  </c:pt>
                  <c:pt idx="8">
                    <c:v>2018</c:v>
                  </c:pt>
                  <c:pt idx="9">
                    <c:v>Mål2050</c:v>
                  </c:pt>
                  <c:pt idx="10">
                    <c:v>2018</c:v>
                  </c:pt>
                  <c:pt idx="11">
                    <c:v>Mål2050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Grafer!$D$404:$D$415</c:f>
              <c:numCache>
                <c:formatCode>#,##0</c:formatCode>
                <c:ptCount val="12"/>
                <c:pt idx="0">
                  <c:v>871</c:v>
                </c:pt>
                <c:pt idx="1">
                  <c:v>0</c:v>
                </c:pt>
                <c:pt idx="2">
                  <c:v>2688.0000000000005</c:v>
                </c:pt>
                <c:pt idx="3">
                  <c:v>0</c:v>
                </c:pt>
                <c:pt idx="4">
                  <c:v>1</c:v>
                </c:pt>
                <c:pt idx="5">
                  <c:v>0</c:v>
                </c:pt>
                <c:pt idx="6">
                  <c:v>134.57640000000001</c:v>
                </c:pt>
                <c:pt idx="7">
                  <c:v>0</c:v>
                </c:pt>
                <c:pt idx="8">
                  <c:v>1251.5999999999999</c:v>
                </c:pt>
                <c:pt idx="9">
                  <c:v>0</c:v>
                </c:pt>
                <c:pt idx="10">
                  <c:v>-57.61743856890056</c:v>
                </c:pt>
                <c:pt idx="11">
                  <c:v>0</c:v>
                </c:pt>
              </c:numCache>
            </c:numRef>
          </c:val>
          <c:extLst xmlns:c16r2="http://schemas.microsoft.com/office/drawing/2015/06/chart">
            <c:ext xmlns:c16="http://schemas.microsoft.com/office/drawing/2014/chart" uri="{C3380CC4-5D6E-409C-BE32-E72D297353CC}">
              <c16:uniqueId val="{00000000-FBDF-4FFD-A11F-F38B6B9EEA53}"/>
            </c:ext>
          </c:extLst>
        </c:ser>
        <c:ser>
          <c:idx val="1"/>
          <c:order val="1"/>
          <c:tx>
            <c:strRef>
              <c:f>Grafer!$E$403</c:f>
              <c:strCache>
                <c:ptCount val="1"/>
                <c:pt idx="0">
                  <c:v>Fossil</c:v>
                </c:pt>
              </c:strCache>
            </c:strRef>
          </c:tx>
          <c:spPr>
            <a:solidFill>
              <a:schemeClr val="accent1">
                <a:lumMod val="75000"/>
              </a:schemeClr>
            </a:solidFill>
          </c:spPr>
          <c:invertIfNegative val="0"/>
          <c:cat>
            <c:multiLvlStrRef>
              <c:f>Grafer!$B$404:$C$415</c:f>
              <c:multiLvlStrCache>
                <c:ptCount val="12"/>
                <c:lvl>
                  <c:pt idx="0">
                    <c:v>2018</c:v>
                  </c:pt>
                  <c:pt idx="1">
                    <c:v>Mål2050</c:v>
                  </c:pt>
                  <c:pt idx="2">
                    <c:v>2018</c:v>
                  </c:pt>
                  <c:pt idx="3">
                    <c:v>Mål2050</c:v>
                  </c:pt>
                  <c:pt idx="4">
                    <c:v>2018</c:v>
                  </c:pt>
                  <c:pt idx="5">
                    <c:v>Mål2050</c:v>
                  </c:pt>
                  <c:pt idx="6">
                    <c:v>2018</c:v>
                  </c:pt>
                  <c:pt idx="7">
                    <c:v>Mål2050</c:v>
                  </c:pt>
                  <c:pt idx="8">
                    <c:v>2018</c:v>
                  </c:pt>
                  <c:pt idx="9">
                    <c:v>Mål2050</c:v>
                  </c:pt>
                  <c:pt idx="10">
                    <c:v>2018</c:v>
                  </c:pt>
                  <c:pt idx="11">
                    <c:v>Mål2050</c:v>
                  </c:pt>
                </c:lvl>
                <c:lvl>
                  <c:pt idx="0">
                    <c:v>Individuel opvarmning</c:v>
                  </c:pt>
                  <c:pt idx="2">
                    <c:v>Kollektiv el- og varmeforsyning</c:v>
                  </c:pt>
                  <c:pt idx="4">
                    <c:v>Industri</c:v>
                  </c:pt>
                  <c:pt idx="6">
                    <c:v>Transport</c:v>
                  </c:pt>
                  <c:pt idx="8">
                    <c:v>Vindkraft mm.</c:v>
                  </c:pt>
                  <c:pt idx="10">
                    <c:v>El-import</c:v>
                  </c:pt>
                </c:lvl>
              </c:multiLvlStrCache>
            </c:multiLvlStrRef>
          </c:cat>
          <c:val>
            <c:numRef>
              <c:f>Grafer!$E$404:$E$415</c:f>
              <c:numCache>
                <c:formatCode>#,##0</c:formatCode>
                <c:ptCount val="12"/>
                <c:pt idx="0">
                  <c:v>503.20000000000005</c:v>
                </c:pt>
                <c:pt idx="1">
                  <c:v>0</c:v>
                </c:pt>
                <c:pt idx="2">
                  <c:v>202.39999999999964</c:v>
                </c:pt>
                <c:pt idx="3">
                  <c:v>0</c:v>
                </c:pt>
                <c:pt idx="4">
                  <c:v>769.9</c:v>
                </c:pt>
                <c:pt idx="5">
                  <c:v>0</c:v>
                </c:pt>
                <c:pt idx="6">
                  <c:v>3614.2236000000003</c:v>
                </c:pt>
                <c:pt idx="7">
                  <c:v>0</c:v>
                </c:pt>
                <c:pt idx="8">
                  <c:v>0</c:v>
                </c:pt>
                <c:pt idx="9">
                  <c:v>0</c:v>
                </c:pt>
                <c:pt idx="10">
                  <c:v>-73.331285451328</c:v>
                </c:pt>
                <c:pt idx="11">
                  <c:v>0</c:v>
                </c:pt>
              </c:numCache>
            </c:numRef>
          </c:val>
          <c:extLst xmlns:c16r2="http://schemas.microsoft.com/office/drawing/2015/06/chart">
            <c:ext xmlns:c16="http://schemas.microsoft.com/office/drawing/2014/chart" uri="{C3380CC4-5D6E-409C-BE32-E72D297353CC}">
              <c16:uniqueId val="{00000001-FBDF-4FFD-A11F-F38B6B9EEA53}"/>
            </c:ext>
          </c:extLst>
        </c:ser>
        <c:dLbls>
          <c:showLegendKey val="0"/>
          <c:showVal val="0"/>
          <c:showCatName val="0"/>
          <c:showSerName val="0"/>
          <c:showPercent val="0"/>
          <c:showBubbleSize val="0"/>
        </c:dLbls>
        <c:gapWidth val="150"/>
        <c:overlap val="100"/>
        <c:axId val="315564152"/>
        <c:axId val="315570032"/>
      </c:barChart>
      <c:catAx>
        <c:axId val="315564152"/>
        <c:scaling>
          <c:orientation val="minMax"/>
        </c:scaling>
        <c:delete val="0"/>
        <c:axPos val="b"/>
        <c:numFmt formatCode="General" sourceLinked="0"/>
        <c:majorTickMark val="out"/>
        <c:minorTickMark val="none"/>
        <c:tickLblPos val="low"/>
        <c:txPr>
          <a:bodyPr/>
          <a:lstStyle/>
          <a:p>
            <a:pPr>
              <a:defRPr b="0"/>
            </a:pPr>
            <a:endParaRPr lang="da-DK"/>
          </a:p>
        </c:txPr>
        <c:crossAx val="315570032"/>
        <c:crosses val="autoZero"/>
        <c:auto val="1"/>
        <c:lblAlgn val="ctr"/>
        <c:lblOffset val="100"/>
        <c:noMultiLvlLbl val="0"/>
      </c:catAx>
      <c:valAx>
        <c:axId val="315570032"/>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315564152"/>
        <c:crosses val="autoZero"/>
        <c:crossBetween val="between"/>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72222222222213E-2"/>
          <c:y val="3.465346534653465E-2"/>
          <c:w val="0.78242305555555569"/>
          <c:h val="0.85396039603960394"/>
        </c:manualLayout>
      </c:layout>
      <c:barChart>
        <c:barDir val="col"/>
        <c:grouping val="clustered"/>
        <c:varyColors val="0"/>
        <c:ser>
          <c:idx val="0"/>
          <c:order val="0"/>
          <c:tx>
            <c:strRef>
              <c:f>Grafer!$C$449</c:f>
              <c:strCache>
                <c:ptCount val="1"/>
                <c:pt idx="0">
                  <c:v>2018</c:v>
                </c:pt>
              </c:strCache>
            </c:strRef>
          </c:tx>
          <c:spPr>
            <a:solidFill>
              <a:schemeClr val="accent5"/>
            </a:solidFill>
          </c:spPr>
          <c:invertIfNegative val="0"/>
          <c:cat>
            <c:strRef>
              <c:f>Grafer!$B$450:$B$458</c:f>
              <c:strCache>
                <c:ptCount val="9"/>
                <c:pt idx="0">
                  <c:v>Benzinbiler</c:v>
                </c:pt>
                <c:pt idx="1">
                  <c:v>Dieselbiler</c:v>
                </c:pt>
                <c:pt idx="2">
                  <c:v>Varebiler</c:v>
                </c:pt>
                <c:pt idx="3">
                  <c:v>Busser</c:v>
                </c:pt>
                <c:pt idx="4">
                  <c:v>Lastbiler m.m.</c:v>
                </c:pt>
                <c:pt idx="5">
                  <c:v>Traktorer</c:v>
                </c:pt>
                <c:pt idx="6">
                  <c:v>Tog</c:v>
                </c:pt>
                <c:pt idx="7">
                  <c:v>Fly</c:v>
                </c:pt>
                <c:pt idx="8">
                  <c:v>Skibe</c:v>
                </c:pt>
              </c:strCache>
            </c:strRef>
          </c:cat>
          <c:val>
            <c:numRef>
              <c:f>Grafer!$C$450:$C$458</c:f>
              <c:numCache>
                <c:formatCode>#,##0</c:formatCode>
                <c:ptCount val="9"/>
                <c:pt idx="0">
                  <c:v>1027.7</c:v>
                </c:pt>
                <c:pt idx="1">
                  <c:v>813.10000000000014</c:v>
                </c:pt>
                <c:pt idx="2">
                  <c:v>327</c:v>
                </c:pt>
                <c:pt idx="3">
                  <c:v>112.7</c:v>
                </c:pt>
                <c:pt idx="4">
                  <c:v>280.3</c:v>
                </c:pt>
                <c:pt idx="5">
                  <c:v>266.8</c:v>
                </c:pt>
                <c:pt idx="6">
                  <c:v>51.5</c:v>
                </c:pt>
                <c:pt idx="7">
                  <c:v>761</c:v>
                </c:pt>
                <c:pt idx="8">
                  <c:v>108.69999999999999</c:v>
                </c:pt>
              </c:numCache>
            </c:numRef>
          </c:val>
          <c:extLst xmlns:c16r2="http://schemas.microsoft.com/office/drawing/2015/06/chart">
            <c:ext xmlns:c16="http://schemas.microsoft.com/office/drawing/2014/chart" uri="{C3380CC4-5D6E-409C-BE32-E72D297353CC}">
              <c16:uniqueId val="{00000000-E41A-4C78-900D-0B3A9024CFB0}"/>
            </c:ext>
          </c:extLst>
        </c:ser>
        <c:ser>
          <c:idx val="2"/>
          <c:order val="1"/>
          <c:tx>
            <c:strRef>
              <c:f>Grafer!$D$449</c:f>
              <c:strCache>
                <c:ptCount val="1"/>
                <c:pt idx="0">
                  <c:v>BAU2030</c:v>
                </c:pt>
              </c:strCache>
            </c:strRef>
          </c:tx>
          <c:spPr>
            <a:solidFill>
              <a:schemeClr val="accent4"/>
            </a:solidFill>
          </c:spPr>
          <c:invertIfNegative val="0"/>
          <c:cat>
            <c:strRef>
              <c:f>Grafer!$B$450:$B$458</c:f>
              <c:strCache>
                <c:ptCount val="9"/>
                <c:pt idx="0">
                  <c:v>Benzinbiler</c:v>
                </c:pt>
                <c:pt idx="1">
                  <c:v>Dieselbiler</c:v>
                </c:pt>
                <c:pt idx="2">
                  <c:v>Varebiler</c:v>
                </c:pt>
                <c:pt idx="3">
                  <c:v>Busser</c:v>
                </c:pt>
                <c:pt idx="4">
                  <c:v>Lastbiler m.m.</c:v>
                </c:pt>
                <c:pt idx="5">
                  <c:v>Traktorer</c:v>
                </c:pt>
                <c:pt idx="6">
                  <c:v>Tog</c:v>
                </c:pt>
                <c:pt idx="7">
                  <c:v>Fly</c:v>
                </c:pt>
                <c:pt idx="8">
                  <c:v>Skibe</c:v>
                </c:pt>
              </c:strCache>
            </c:strRef>
          </c:cat>
          <c:val>
            <c:numRef>
              <c:f>Grafer!$D$450:$D$458</c:f>
              <c:numCache>
                <c:formatCode>#,##0</c:formatCode>
                <c:ptCount val="9"/>
                <c:pt idx="0">
                  <c:v>811.88300000000004</c:v>
                </c:pt>
                <c:pt idx="1">
                  <c:v>642.34900000000005</c:v>
                </c:pt>
                <c:pt idx="2">
                  <c:v>258.33</c:v>
                </c:pt>
                <c:pt idx="3">
                  <c:v>119.46200000000002</c:v>
                </c:pt>
                <c:pt idx="4">
                  <c:v>295.99119400000006</c:v>
                </c:pt>
                <c:pt idx="5">
                  <c:v>266.8</c:v>
                </c:pt>
                <c:pt idx="6">
                  <c:v>15.45</c:v>
                </c:pt>
                <c:pt idx="7">
                  <c:v>814.2700000000001</c:v>
                </c:pt>
                <c:pt idx="8">
                  <c:v>103.26499999999999</c:v>
                </c:pt>
              </c:numCache>
            </c:numRef>
          </c:val>
          <c:extLst xmlns:c16r2="http://schemas.microsoft.com/office/drawing/2015/06/chart">
            <c:ext xmlns:c16="http://schemas.microsoft.com/office/drawing/2014/chart" uri="{C3380CC4-5D6E-409C-BE32-E72D297353CC}">
              <c16:uniqueId val="{00000001-E41A-4C78-900D-0B3A9024CFB0}"/>
            </c:ext>
          </c:extLst>
        </c:ser>
        <c:dLbls>
          <c:showLegendKey val="0"/>
          <c:showVal val="0"/>
          <c:showCatName val="0"/>
          <c:showSerName val="0"/>
          <c:showPercent val="0"/>
          <c:showBubbleSize val="0"/>
        </c:dLbls>
        <c:gapWidth val="150"/>
        <c:axId val="315572384"/>
        <c:axId val="315573952"/>
      </c:barChart>
      <c:catAx>
        <c:axId val="3155723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73952"/>
        <c:crosses val="autoZero"/>
        <c:auto val="1"/>
        <c:lblAlgn val="ctr"/>
        <c:lblOffset val="100"/>
        <c:noMultiLvlLbl val="0"/>
      </c:catAx>
      <c:valAx>
        <c:axId val="31557395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72384"/>
        <c:crosses val="autoZero"/>
        <c:crossBetween val="between"/>
      </c:valAx>
    </c:plotArea>
    <c:legend>
      <c:legendPos val="r"/>
      <c:layout>
        <c:manualLayout>
          <c:xMode val="edge"/>
          <c:yMode val="edge"/>
          <c:x val="0.89359861111111161"/>
          <c:y val="0.42682525252525338"/>
          <c:w val="8.9547500000000224E-2"/>
          <c:h val="0.13224393939393941"/>
        </c:manualLayout>
      </c:layout>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243" l="0.70000000000000062" r="0.70000000000000062" t="0.7500000000000124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34791666666691"/>
          <c:y val="5.4520202020202024E-2"/>
          <c:w val="0.49712500000000032"/>
          <c:h val="0.90386363636363665"/>
        </c:manualLayout>
      </c:layout>
      <c:pieChart>
        <c:varyColors val="1"/>
        <c:ser>
          <c:idx val="2"/>
          <c:order val="0"/>
          <c:tx>
            <c:strRef>
              <c:f>Grafer!$C$449</c:f>
              <c:strCache>
                <c:ptCount val="1"/>
                <c:pt idx="0">
                  <c:v>2018</c:v>
                </c:pt>
              </c:strCache>
            </c:strRef>
          </c:tx>
          <c:dPt>
            <c:idx val="2"/>
            <c:bubble3D val="0"/>
            <c:spPr>
              <a:solidFill>
                <a:srgbClr val="71588F"/>
              </a:solidFill>
            </c:spPr>
            <c:extLst xmlns:c16r2="http://schemas.microsoft.com/office/drawing/2015/06/chart">
              <c:ext xmlns:c16="http://schemas.microsoft.com/office/drawing/2014/chart" uri="{C3380CC4-5D6E-409C-BE32-E72D297353CC}">
                <c16:uniqueId val="{00000001-4F70-468B-9A09-0CD69155344A}"/>
              </c:ext>
            </c:extLst>
          </c:dPt>
          <c:dPt>
            <c:idx val="3"/>
            <c:bubble3D val="0"/>
            <c:spPr>
              <a:solidFill>
                <a:srgbClr val="89A54E"/>
              </a:solidFill>
            </c:spPr>
            <c:extLst xmlns:c16r2="http://schemas.microsoft.com/office/drawing/2015/06/chart">
              <c:ext xmlns:c16="http://schemas.microsoft.com/office/drawing/2014/chart" uri="{C3380CC4-5D6E-409C-BE32-E72D297353CC}">
                <c16:uniqueId val="{00000003-4F70-468B-9A09-0CD69155344A}"/>
              </c:ext>
            </c:extLst>
          </c:dPt>
          <c:dLbls>
            <c:spPr>
              <a:noFill/>
              <a:ln>
                <a:noFill/>
              </a:ln>
              <a:effectLst/>
            </c:spPr>
            <c:txPr>
              <a:bodyPr/>
              <a:lstStyle/>
              <a:p>
                <a:pPr>
                  <a:defRPr b="1"/>
                </a:pPr>
                <a:endParaRPr lang="da-DK"/>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Grafer!$B$450:$B$458</c:f>
              <c:strCache>
                <c:ptCount val="9"/>
                <c:pt idx="0">
                  <c:v>Benzinbiler</c:v>
                </c:pt>
                <c:pt idx="1">
                  <c:v>Dieselbiler</c:v>
                </c:pt>
                <c:pt idx="2">
                  <c:v>Varebiler</c:v>
                </c:pt>
                <c:pt idx="3">
                  <c:v>Busser</c:v>
                </c:pt>
                <c:pt idx="4">
                  <c:v>Lastbiler m.m.</c:v>
                </c:pt>
                <c:pt idx="5">
                  <c:v>Traktorer</c:v>
                </c:pt>
                <c:pt idx="6">
                  <c:v>Tog</c:v>
                </c:pt>
                <c:pt idx="7">
                  <c:v>Fly</c:v>
                </c:pt>
                <c:pt idx="8">
                  <c:v>Skibe</c:v>
                </c:pt>
              </c:strCache>
            </c:strRef>
          </c:cat>
          <c:val>
            <c:numRef>
              <c:f>Grafer!$C$450:$C$458</c:f>
              <c:numCache>
                <c:formatCode>#,##0</c:formatCode>
                <c:ptCount val="9"/>
                <c:pt idx="0">
                  <c:v>1027.7</c:v>
                </c:pt>
                <c:pt idx="1">
                  <c:v>813.10000000000014</c:v>
                </c:pt>
                <c:pt idx="2">
                  <c:v>327</c:v>
                </c:pt>
                <c:pt idx="3">
                  <c:v>112.7</c:v>
                </c:pt>
                <c:pt idx="4">
                  <c:v>280.3</c:v>
                </c:pt>
                <c:pt idx="5">
                  <c:v>266.8</c:v>
                </c:pt>
                <c:pt idx="6">
                  <c:v>51.5</c:v>
                </c:pt>
                <c:pt idx="7">
                  <c:v>761</c:v>
                </c:pt>
                <c:pt idx="8">
                  <c:v>108.69999999999999</c:v>
                </c:pt>
              </c:numCache>
            </c:numRef>
          </c:val>
          <c:extLst xmlns:c16r2="http://schemas.microsoft.com/office/drawing/2015/06/chart">
            <c:ext xmlns:c16="http://schemas.microsoft.com/office/drawing/2014/chart" uri="{C3380CC4-5D6E-409C-BE32-E72D297353CC}">
              <c16:uniqueId val="{00000004-4F70-468B-9A09-0CD69155344A}"/>
            </c:ext>
          </c:extLst>
        </c:ser>
        <c:dLbls>
          <c:showLegendKey val="0"/>
          <c:showVal val="0"/>
          <c:showCatName val="0"/>
          <c:showSerName val="0"/>
          <c:showPercent val="1"/>
          <c:showBubbleSize val="0"/>
          <c:showLeaderLines val="1"/>
        </c:dLbls>
        <c:firstSliceAng val="0"/>
      </c:pieChart>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81834099225909E-2"/>
          <c:y val="3.465346534653465E-2"/>
          <c:w val="0.63166006944444464"/>
          <c:h val="0.66988914141414446"/>
        </c:manualLayout>
      </c:layout>
      <c:barChart>
        <c:barDir val="col"/>
        <c:grouping val="stacked"/>
        <c:varyColors val="0"/>
        <c:ser>
          <c:idx val="0"/>
          <c:order val="0"/>
          <c:tx>
            <c:strRef>
              <c:f>Grafer!$B$110</c:f>
              <c:strCache>
                <c:ptCount val="1"/>
                <c:pt idx="0">
                  <c:v>Affald, bionedbrydeligt</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Grafer!$C$110:$G$110</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10-4230-AA3B-B63604EA7509}"/>
            </c:ext>
          </c:extLst>
        </c:ser>
        <c:ser>
          <c:idx val="1"/>
          <c:order val="1"/>
          <c:tx>
            <c:strRef>
              <c:f>Grafer!$B$111</c:f>
              <c:strCache>
                <c:ptCount val="1"/>
                <c:pt idx="0">
                  <c:v>Biomasse</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Grafer!$C$111:$G$111</c:f>
              <c:numCache>
                <c:formatCode>#,##0</c:formatCode>
                <c:ptCount val="5"/>
                <c:pt idx="0">
                  <c:v>3614.7764000000002</c:v>
                </c:pt>
                <c:pt idx="1">
                  <c:v>3478.8279200000002</c:v>
                </c:pt>
                <c:pt idx="2">
                  <c:v>3221.9262800000006</c:v>
                </c:pt>
                <c:pt idx="3">
                  <c:v>0</c:v>
                </c:pt>
                <c:pt idx="4">
                  <c:v>0</c:v>
                </c:pt>
              </c:numCache>
            </c:numRef>
          </c:val>
          <c:extLst xmlns:c16r2="http://schemas.microsoft.com/office/drawing/2015/06/chart">
            <c:ext xmlns:c16="http://schemas.microsoft.com/office/drawing/2014/chart" uri="{C3380CC4-5D6E-409C-BE32-E72D297353CC}">
              <c16:uniqueId val="{00000001-3810-4230-AA3B-B63604EA7509}"/>
            </c:ext>
          </c:extLst>
        </c:ser>
        <c:ser>
          <c:idx val="2"/>
          <c:order val="2"/>
          <c:tx>
            <c:strRef>
              <c:f>Grafer!$B$112</c:f>
              <c:strCache>
                <c:ptCount val="1"/>
                <c:pt idx="0">
                  <c:v>Vindenergi</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Grafer!$C$112:$G$112</c:f>
              <c:numCache>
                <c:formatCode>#,##0</c:formatCode>
                <c:ptCount val="5"/>
                <c:pt idx="0">
                  <c:v>1209.5999999999999</c:v>
                </c:pt>
                <c:pt idx="1">
                  <c:v>2195.6</c:v>
                </c:pt>
                <c:pt idx="2">
                  <c:v>2195.6</c:v>
                </c:pt>
                <c:pt idx="3">
                  <c:v>0</c:v>
                </c:pt>
                <c:pt idx="4">
                  <c:v>0</c:v>
                </c:pt>
              </c:numCache>
            </c:numRef>
          </c:val>
          <c:extLst xmlns:c16r2="http://schemas.microsoft.com/office/drawing/2015/06/chart">
            <c:ext xmlns:c16="http://schemas.microsoft.com/office/drawing/2014/chart" uri="{C3380CC4-5D6E-409C-BE32-E72D297353CC}">
              <c16:uniqueId val="{00000002-3810-4230-AA3B-B63604EA7509}"/>
            </c:ext>
          </c:extLst>
        </c:ser>
        <c:ser>
          <c:idx val="3"/>
          <c:order val="3"/>
          <c:tx>
            <c:strRef>
              <c:f>Grafer!$B$113</c:f>
              <c:strCache>
                <c:ptCount val="1"/>
                <c:pt idx="0">
                  <c:v>Biogas</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Grafer!$C$113:$G$113</c:f>
              <c:numCache>
                <c:formatCode>#,##0</c:formatCode>
                <c:ptCount val="5"/>
                <c:pt idx="0">
                  <c:v>30.7</c:v>
                </c:pt>
                <c:pt idx="1">
                  <c:v>29.472000000000001</c:v>
                </c:pt>
                <c:pt idx="2">
                  <c:v>27.630000000000003</c:v>
                </c:pt>
                <c:pt idx="3">
                  <c:v>0</c:v>
                </c:pt>
                <c:pt idx="4">
                  <c:v>0</c:v>
                </c:pt>
              </c:numCache>
            </c:numRef>
          </c:val>
          <c:extLst xmlns:c16r2="http://schemas.microsoft.com/office/drawing/2015/06/chart">
            <c:ext xmlns:c16="http://schemas.microsoft.com/office/drawing/2014/chart" uri="{C3380CC4-5D6E-409C-BE32-E72D297353CC}">
              <c16:uniqueId val="{00000003-3810-4230-AA3B-B63604EA7509}"/>
            </c:ext>
          </c:extLst>
        </c:ser>
        <c:ser>
          <c:idx val="4"/>
          <c:order val="4"/>
          <c:tx>
            <c:strRef>
              <c:f>Grafer!$B$114</c:f>
              <c:strCache>
                <c:ptCount val="1"/>
                <c:pt idx="0">
                  <c:v>Solenergi</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Grafer!$C$114:$G$114</c:f>
              <c:numCache>
                <c:formatCode>#,##0</c:formatCode>
                <c:ptCount val="5"/>
                <c:pt idx="0">
                  <c:v>73.099999999999994</c:v>
                </c:pt>
                <c:pt idx="1">
                  <c:v>237.26000000000002</c:v>
                </c:pt>
                <c:pt idx="2">
                  <c:v>237.26000000000002</c:v>
                </c:pt>
                <c:pt idx="3">
                  <c:v>0</c:v>
                </c:pt>
                <c:pt idx="4">
                  <c:v>0</c:v>
                </c:pt>
              </c:numCache>
            </c:numRef>
          </c:val>
          <c:extLst xmlns:c16r2="http://schemas.microsoft.com/office/drawing/2015/06/chart">
            <c:ext xmlns:c16="http://schemas.microsoft.com/office/drawing/2014/chart" uri="{C3380CC4-5D6E-409C-BE32-E72D297353CC}">
              <c16:uniqueId val="{00000004-3810-4230-AA3B-B63604EA7509}"/>
            </c:ext>
          </c:extLst>
        </c:ser>
        <c:ser>
          <c:idx val="5"/>
          <c:order val="5"/>
          <c:tx>
            <c:strRef>
              <c:f>Grafer!$B$115</c:f>
              <c:strCache>
                <c:ptCount val="1"/>
                <c:pt idx="0">
                  <c:v>Jordvarme, geotermi, vandkraft mm.</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Grafer!$C$115:$G$115</c:f>
              <c:numCache>
                <c:formatCode>#,##0</c:formatCode>
                <c:ptCount val="5"/>
                <c:pt idx="0">
                  <c:v>18</c:v>
                </c:pt>
                <c:pt idx="1">
                  <c:v>105.99333333333333</c:v>
                </c:pt>
                <c:pt idx="2">
                  <c:v>273</c:v>
                </c:pt>
                <c:pt idx="3">
                  <c:v>0</c:v>
                </c:pt>
                <c:pt idx="4">
                  <c:v>0</c:v>
                </c:pt>
              </c:numCache>
            </c:numRef>
          </c:val>
          <c:extLst xmlns:c16r2="http://schemas.microsoft.com/office/drawing/2015/06/chart">
            <c:ext xmlns:c16="http://schemas.microsoft.com/office/drawing/2014/chart" uri="{C3380CC4-5D6E-409C-BE32-E72D297353CC}">
              <c16:uniqueId val="{00000005-3810-4230-AA3B-B63604EA7509}"/>
            </c:ext>
          </c:extLst>
        </c:ser>
        <c:ser>
          <c:idx val="6"/>
          <c:order val="6"/>
          <c:tx>
            <c:strRef>
              <c:f>Grafer!$B$116</c:f>
              <c:strCache>
                <c:ptCount val="1"/>
                <c:pt idx="0">
                  <c:v>Elimport (VE-baseret)</c:v>
                </c:pt>
              </c:strCache>
            </c:strRef>
          </c:tx>
          <c:invertIfNegative val="0"/>
          <c:cat>
            <c:strRef>
              <c:f>Grafer!$C$101:$G$101</c:f>
              <c:strCache>
                <c:ptCount val="5"/>
                <c:pt idx="0">
                  <c:v>2018</c:v>
                </c:pt>
                <c:pt idx="1">
                  <c:v>BAU2030</c:v>
                </c:pt>
                <c:pt idx="2">
                  <c:v>BAU2050</c:v>
                </c:pt>
                <c:pt idx="3">
                  <c:v>Mål 2030</c:v>
                </c:pt>
                <c:pt idx="4">
                  <c:v>Mål 2050</c:v>
                </c:pt>
              </c:strCache>
            </c:strRef>
          </c:cat>
          <c:val>
            <c:numRef>
              <c:f>Grafer!$C$116:$G$116</c:f>
              <c:numCache>
                <c:formatCode>#,##0</c:formatCode>
                <c:ptCount val="5"/>
                <c:pt idx="0">
                  <c:v>-57.61743856890056</c:v>
                </c:pt>
                <c:pt idx="1">
                  <c:v>-988.62884322060302</c:v>
                </c:pt>
                <c:pt idx="2">
                  <c:v>-474.44595351550436</c:v>
                </c:pt>
                <c:pt idx="3">
                  <c:v>0</c:v>
                </c:pt>
                <c:pt idx="4">
                  <c:v>0</c:v>
                </c:pt>
              </c:numCache>
            </c:numRef>
          </c:val>
          <c:extLst xmlns:c16r2="http://schemas.microsoft.com/office/drawing/2015/06/chart">
            <c:ext xmlns:c16="http://schemas.microsoft.com/office/drawing/2014/chart" uri="{C3380CC4-5D6E-409C-BE32-E72D297353CC}">
              <c16:uniqueId val="{00000006-3810-4230-AA3B-B63604EA7509}"/>
            </c:ext>
          </c:extLst>
        </c:ser>
        <c:dLbls>
          <c:showLegendKey val="0"/>
          <c:showVal val="0"/>
          <c:showCatName val="0"/>
          <c:showSerName val="0"/>
          <c:showPercent val="0"/>
          <c:showBubbleSize val="0"/>
        </c:dLbls>
        <c:gapWidth val="150"/>
        <c:overlap val="100"/>
        <c:axId val="316641472"/>
        <c:axId val="316631672"/>
      </c:barChart>
      <c:catAx>
        <c:axId val="316641472"/>
        <c:scaling>
          <c:orientation val="minMax"/>
        </c:scaling>
        <c:delete val="0"/>
        <c:axPos val="b"/>
        <c:numFmt formatCode="General" sourceLinked="0"/>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da-DK"/>
          </a:p>
        </c:txPr>
        <c:crossAx val="316631672"/>
        <c:crosses val="autoZero"/>
        <c:auto val="1"/>
        <c:lblAlgn val="ctr"/>
        <c:lblOffset val="100"/>
        <c:noMultiLvlLbl val="0"/>
      </c:catAx>
      <c:valAx>
        <c:axId val="31663167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41472"/>
        <c:crosses val="autoZero"/>
        <c:crossBetween val="between"/>
      </c:valAx>
    </c:plotArea>
    <c:legend>
      <c:legendPos val="r"/>
      <c:layout>
        <c:manualLayout>
          <c:xMode val="edge"/>
          <c:yMode val="edge"/>
          <c:x val="0.76460127314815507"/>
          <c:y val="0.27983156565656581"/>
          <c:w val="0.2250587183448915"/>
          <c:h val="0.38113742302431691"/>
        </c:manualLayout>
      </c:layout>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1" l="0.70000000000000062" r="0.70000000000000062" t="0.7500000000000111"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0057636887608"/>
          <c:y val="3.465346534653465E-2"/>
          <c:w val="0.7506978654287193"/>
          <c:h val="0.85396039603960394"/>
        </c:manualLayout>
      </c:layout>
      <c:barChart>
        <c:barDir val="col"/>
        <c:grouping val="clustered"/>
        <c:varyColors val="0"/>
        <c:ser>
          <c:idx val="0"/>
          <c:order val="0"/>
          <c:tx>
            <c:strRef>
              <c:f>Grafer!$C$642</c:f>
              <c:strCache>
                <c:ptCount val="1"/>
                <c:pt idx="0">
                  <c:v>2018</c:v>
                </c:pt>
              </c:strCache>
            </c:strRef>
          </c:tx>
          <c:spPr>
            <a:solidFill>
              <a:schemeClr val="accent5"/>
            </a:solidFill>
          </c:spPr>
          <c:invertIfNegative val="0"/>
          <c:cat>
            <c:strRef>
              <c:f>Grafer!$B$643:$B$648</c:f>
              <c:strCache>
                <c:ptCount val="6"/>
                <c:pt idx="0">
                  <c:v>Individuel opvarmning</c:v>
                </c:pt>
                <c:pt idx="1">
                  <c:v>Kollektiv el- og varmeforsyning</c:v>
                </c:pt>
                <c:pt idx="2">
                  <c:v>Industri</c:v>
                </c:pt>
                <c:pt idx="3">
                  <c:v>Transport</c:v>
                </c:pt>
                <c:pt idx="4">
                  <c:v>Vindkraft mm.</c:v>
                </c:pt>
                <c:pt idx="5">
                  <c:v>El-import</c:v>
                </c:pt>
              </c:strCache>
            </c:strRef>
          </c:cat>
          <c:val>
            <c:numRef>
              <c:f>Grafer!$C$643:$C$648</c:f>
              <c:numCache>
                <c:formatCode>#,##0</c:formatCode>
                <c:ptCount val="6"/>
                <c:pt idx="0">
                  <c:v>31.159299999999998</c:v>
                </c:pt>
                <c:pt idx="1">
                  <c:v>12.205934999999998</c:v>
                </c:pt>
                <c:pt idx="2">
                  <c:v>44.493400000000001</c:v>
                </c:pt>
                <c:pt idx="3">
                  <c:v>264.93598910000003</c:v>
                </c:pt>
                <c:pt idx="5">
                  <c:v>-16.253355625390768</c:v>
                </c:pt>
              </c:numCache>
            </c:numRef>
          </c:val>
          <c:extLst xmlns:c16r2="http://schemas.microsoft.com/office/drawing/2015/06/chart">
            <c:ext xmlns:c16="http://schemas.microsoft.com/office/drawing/2014/chart" uri="{C3380CC4-5D6E-409C-BE32-E72D297353CC}">
              <c16:uniqueId val="{00000000-B834-4120-8904-F233ED02E234}"/>
            </c:ext>
          </c:extLst>
        </c:ser>
        <c:ser>
          <c:idx val="1"/>
          <c:order val="1"/>
          <c:tx>
            <c:strRef>
              <c:f>Grafer!$D$642</c:f>
              <c:strCache>
                <c:ptCount val="1"/>
                <c:pt idx="0">
                  <c:v>BAU2030</c:v>
                </c:pt>
              </c:strCache>
            </c:strRef>
          </c:tx>
          <c:spPr>
            <a:solidFill>
              <a:schemeClr val="accent4"/>
            </a:solidFill>
          </c:spPr>
          <c:invertIfNegative val="0"/>
          <c:cat>
            <c:strRef>
              <c:f>Grafer!$B$643:$B$648</c:f>
              <c:strCache>
                <c:ptCount val="6"/>
                <c:pt idx="0">
                  <c:v>Individuel opvarmning</c:v>
                </c:pt>
                <c:pt idx="1">
                  <c:v>Kollektiv el- og varmeforsyning</c:v>
                </c:pt>
                <c:pt idx="2">
                  <c:v>Industri</c:v>
                </c:pt>
                <c:pt idx="3">
                  <c:v>Transport</c:v>
                </c:pt>
                <c:pt idx="4">
                  <c:v>Vindkraft mm.</c:v>
                </c:pt>
                <c:pt idx="5">
                  <c:v>El-import</c:v>
                </c:pt>
              </c:strCache>
            </c:strRef>
          </c:cat>
          <c:val>
            <c:numRef>
              <c:f>Grafer!$D$643:$D$648</c:f>
              <c:numCache>
                <c:formatCode>#,##0</c:formatCode>
                <c:ptCount val="6"/>
                <c:pt idx="0">
                  <c:v>18.755078399999999</c:v>
                </c:pt>
                <c:pt idx="1">
                  <c:v>5.8416998399999995</c:v>
                </c:pt>
                <c:pt idx="2">
                  <c:v>44.493400000000001</c:v>
                </c:pt>
                <c:pt idx="3">
                  <c:v>235.53322944900003</c:v>
                </c:pt>
                <c:pt idx="5">
                  <c:v>0</c:v>
                </c:pt>
              </c:numCache>
            </c:numRef>
          </c:val>
          <c:extLst xmlns:c16r2="http://schemas.microsoft.com/office/drawing/2015/06/chart">
            <c:ext xmlns:c16="http://schemas.microsoft.com/office/drawing/2014/chart" uri="{C3380CC4-5D6E-409C-BE32-E72D297353CC}">
              <c16:uniqueId val="{00000001-B834-4120-8904-F233ED02E234}"/>
            </c:ext>
          </c:extLst>
        </c:ser>
        <c:dLbls>
          <c:showLegendKey val="0"/>
          <c:showVal val="0"/>
          <c:showCatName val="0"/>
          <c:showSerName val="0"/>
          <c:showPercent val="0"/>
          <c:showBubbleSize val="0"/>
        </c:dLbls>
        <c:gapWidth val="150"/>
        <c:axId val="315568856"/>
        <c:axId val="315571600"/>
      </c:barChart>
      <c:catAx>
        <c:axId val="3155688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71600"/>
        <c:crosses val="autoZero"/>
        <c:auto val="1"/>
        <c:lblAlgn val="ctr"/>
        <c:lblOffset val="100"/>
        <c:noMultiLvlLbl val="0"/>
      </c:catAx>
      <c:valAx>
        <c:axId val="31557160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tons/ år</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68856"/>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99" l="0.70000000000000062" r="0.70000000000000062" t="0.7500000000000119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56777637085187"/>
          <c:y val="4.8758435897136708E-2"/>
          <c:w val="0.55357579485996056"/>
          <c:h val="0.88874159115313645"/>
        </c:manualLayout>
      </c:layout>
      <c:pieChart>
        <c:varyColors val="1"/>
        <c:ser>
          <c:idx val="0"/>
          <c:order val="0"/>
          <c:tx>
            <c:strRef>
              <c:f>Grafer!$B$746</c:f>
              <c:strCache>
                <c:ptCount val="1"/>
                <c:pt idx="0">
                  <c:v>I alt</c:v>
                </c:pt>
              </c:strCache>
            </c:strRef>
          </c:tx>
          <c:dLbls>
            <c:spPr>
              <a:noFill/>
              <a:ln>
                <a:noFill/>
              </a:ln>
              <a:effectLst/>
            </c:spPr>
            <c:txPr>
              <a:bodyPr/>
              <a:lstStyle/>
              <a:p>
                <a:pPr>
                  <a:defRPr b="1"/>
                </a:pPr>
                <a:endParaRPr lang="da-DK"/>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Grafer!$C$731:$K$731</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Grafer!$C$746:$K$746</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E1C7-4A7E-81CF-C8BC0C167D35}"/>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da-DK"/>
        </a:p>
      </c:txPr>
    </c:legend>
    <c:plotVisOnly val="1"/>
    <c:dispBlanksAs val="zero"/>
    <c:showDLblsOverMax val="0"/>
  </c:chart>
  <c:printSettings>
    <c:headerFooter/>
    <c:pageMargins b="0.75000000000000278" l="0.70000000000000062" r="0.70000000000000062" t="0.7500000000000027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73958333333341"/>
          <c:y val="6.5707070707070714E-2"/>
          <c:w val="0.48125000000000007"/>
          <c:h val="0.87500000000000289"/>
        </c:manualLayout>
      </c:layout>
      <c:pieChart>
        <c:varyColors val="1"/>
        <c:ser>
          <c:idx val="0"/>
          <c:order val="0"/>
          <c:tx>
            <c:strRef>
              <c:f>Grafer!$L$731</c:f>
              <c:strCache>
                <c:ptCount val="1"/>
                <c:pt idx="0">
                  <c:v>I alt</c:v>
                </c:pt>
              </c:strCache>
            </c:strRef>
          </c:tx>
          <c:dPt>
            <c:idx val="0"/>
            <c:bubble3D val="0"/>
            <c:spPr>
              <a:solidFill>
                <a:srgbClr val="9E413E"/>
              </a:solidFill>
            </c:spPr>
            <c:extLst xmlns:c16r2="http://schemas.microsoft.com/office/drawing/2015/06/chart">
              <c:ext xmlns:c16="http://schemas.microsoft.com/office/drawing/2014/chart" uri="{C3380CC4-5D6E-409C-BE32-E72D297353CC}">
                <c16:uniqueId val="{00000001-5D3B-4877-A77D-E1924104D39F}"/>
              </c:ext>
            </c:extLst>
          </c:dPt>
          <c:dPt>
            <c:idx val="1"/>
            <c:bubble3D val="0"/>
            <c:spPr>
              <a:solidFill>
                <a:srgbClr val="7F9A48"/>
              </a:solidFill>
            </c:spPr>
            <c:extLst xmlns:c16r2="http://schemas.microsoft.com/office/drawing/2015/06/chart">
              <c:ext xmlns:c16="http://schemas.microsoft.com/office/drawing/2014/chart" uri="{C3380CC4-5D6E-409C-BE32-E72D297353CC}">
                <c16:uniqueId val="{00000003-5D3B-4877-A77D-E1924104D39F}"/>
              </c:ext>
            </c:extLst>
          </c:dPt>
          <c:dPt>
            <c:idx val="2"/>
            <c:bubble3D val="0"/>
            <c:spPr>
              <a:solidFill>
                <a:srgbClr val="695185"/>
              </a:solidFill>
            </c:spPr>
            <c:extLst xmlns:c16r2="http://schemas.microsoft.com/office/drawing/2015/06/chart">
              <c:ext xmlns:c16="http://schemas.microsoft.com/office/drawing/2014/chart" uri="{C3380CC4-5D6E-409C-BE32-E72D297353CC}">
                <c16:uniqueId val="{00000005-5D3B-4877-A77D-E1924104D39F}"/>
              </c:ext>
            </c:extLst>
          </c:dPt>
          <c:dPt>
            <c:idx val="3"/>
            <c:bubble3D val="0"/>
            <c:spPr>
              <a:solidFill>
                <a:srgbClr val="3C8DA3"/>
              </a:solidFill>
            </c:spPr>
            <c:extLst xmlns:c16r2="http://schemas.microsoft.com/office/drawing/2015/06/chart">
              <c:ext xmlns:c16="http://schemas.microsoft.com/office/drawing/2014/chart" uri="{C3380CC4-5D6E-409C-BE32-E72D297353CC}">
                <c16:uniqueId val="{00000007-5D3B-4877-A77D-E1924104D39F}"/>
              </c:ext>
            </c:extLst>
          </c:dPt>
          <c:dPt>
            <c:idx val="4"/>
            <c:bubble3D val="0"/>
            <c:spPr>
              <a:solidFill>
                <a:srgbClr val="CC7B38"/>
              </a:solidFill>
            </c:spPr>
            <c:extLst xmlns:c16r2="http://schemas.microsoft.com/office/drawing/2015/06/chart">
              <c:ext xmlns:c16="http://schemas.microsoft.com/office/drawing/2014/chart" uri="{C3380CC4-5D6E-409C-BE32-E72D297353CC}">
                <c16:uniqueId val="{00000009-5D3B-4877-A77D-E1924104D39F}"/>
              </c:ext>
            </c:extLst>
          </c:dPt>
          <c:dPt>
            <c:idx val="5"/>
            <c:bubble3D val="0"/>
            <c:spPr>
              <a:solidFill>
                <a:srgbClr val="4F81BD"/>
              </a:solidFill>
            </c:spPr>
            <c:extLst xmlns:c16r2="http://schemas.microsoft.com/office/drawing/2015/06/chart">
              <c:ext xmlns:c16="http://schemas.microsoft.com/office/drawing/2014/chart" uri="{C3380CC4-5D6E-409C-BE32-E72D297353CC}">
                <c16:uniqueId val="{0000000B-5D3B-4877-A77D-E1924104D39F}"/>
              </c:ext>
            </c:extLst>
          </c:dPt>
          <c:dPt>
            <c:idx val="6"/>
            <c:bubble3D val="0"/>
            <c:spPr>
              <a:solidFill>
                <a:srgbClr val="D9AAA9"/>
              </a:solidFill>
            </c:spPr>
            <c:extLst xmlns:c16r2="http://schemas.microsoft.com/office/drawing/2015/06/chart">
              <c:ext xmlns:c16="http://schemas.microsoft.com/office/drawing/2014/chart" uri="{C3380CC4-5D6E-409C-BE32-E72D297353CC}">
                <c16:uniqueId val="{0000000D-5D3B-4877-A77D-E1924104D39F}"/>
              </c:ext>
            </c:extLst>
          </c:dPt>
          <c:dPt>
            <c:idx val="7"/>
            <c:bubble3D val="0"/>
            <c:spPr>
              <a:solidFill>
                <a:srgbClr val="C0504D"/>
              </a:solidFill>
            </c:spPr>
            <c:extLst xmlns:c16r2="http://schemas.microsoft.com/office/drawing/2015/06/chart">
              <c:ext xmlns:c16="http://schemas.microsoft.com/office/drawing/2014/chart" uri="{C3380CC4-5D6E-409C-BE32-E72D297353CC}">
                <c16:uniqueId val="{0000000F-5D3B-4877-A77D-E1924104D39F}"/>
              </c:ext>
            </c:extLst>
          </c:dPt>
          <c:dPt>
            <c:idx val="8"/>
            <c:bubble3D val="0"/>
            <c:spPr>
              <a:solidFill>
                <a:srgbClr val="9BBB59"/>
              </a:solidFill>
            </c:spPr>
            <c:extLst xmlns:c16r2="http://schemas.microsoft.com/office/drawing/2015/06/chart">
              <c:ext xmlns:c16="http://schemas.microsoft.com/office/drawing/2014/chart" uri="{C3380CC4-5D6E-409C-BE32-E72D297353CC}">
                <c16:uniqueId val="{00000011-5D3B-4877-A77D-E1924104D39F}"/>
              </c:ext>
            </c:extLst>
          </c:dPt>
          <c:dPt>
            <c:idx val="9"/>
            <c:bubble3D val="0"/>
            <c:spPr>
              <a:solidFill>
                <a:srgbClr val="8064A2"/>
              </a:solidFill>
            </c:spPr>
            <c:extLst xmlns:c16r2="http://schemas.microsoft.com/office/drawing/2015/06/chart">
              <c:ext xmlns:c16="http://schemas.microsoft.com/office/drawing/2014/chart" uri="{C3380CC4-5D6E-409C-BE32-E72D297353CC}">
                <c16:uniqueId val="{00000013-5D3B-4877-A77D-E1924104D39F}"/>
              </c:ext>
            </c:extLst>
          </c:dPt>
          <c:dPt>
            <c:idx val="11"/>
            <c:bubble3D val="0"/>
            <c:spPr>
              <a:solidFill>
                <a:schemeClr val="accent5">
                  <a:lumMod val="40000"/>
                  <a:lumOff val="60000"/>
                </a:schemeClr>
              </a:solidFill>
            </c:spPr>
            <c:extLst xmlns:c16r2="http://schemas.microsoft.com/office/drawing/2015/06/chart">
              <c:ext xmlns:c16="http://schemas.microsoft.com/office/drawing/2014/chart" uri="{C3380CC4-5D6E-409C-BE32-E72D297353CC}">
                <c16:uniqueId val="{00000015-5D3B-4877-A77D-E1924104D39F}"/>
              </c:ext>
            </c:extLst>
          </c:dPt>
          <c:dLbls>
            <c:spPr>
              <a:noFill/>
              <a:ln>
                <a:noFill/>
              </a:ln>
              <a:effectLst/>
            </c:spPr>
            <c:txPr>
              <a:bodyPr/>
              <a:lstStyle/>
              <a:p>
                <a:pPr>
                  <a:defRPr b="1"/>
                </a:pPr>
                <a:endParaRPr lang="da-DK"/>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Grafer!$B$732:$B$745</c:f>
              <c:strCache>
                <c:ptCount val="14"/>
                <c:pt idx="0">
                  <c:v>El</c:v>
                </c:pt>
                <c:pt idx="1">
                  <c:v>Kul</c:v>
                </c:pt>
                <c:pt idx="2">
                  <c:v>Naturgas og LPG</c:v>
                </c:pt>
                <c:pt idx="3">
                  <c:v>Fuelolie</c:v>
                </c:pt>
                <c:pt idx="4">
                  <c:v>Brændselsolie/diesel</c:v>
                </c:pt>
                <c:pt idx="5">
                  <c:v>Benzin</c:v>
                </c:pt>
                <c:pt idx="6">
                  <c:v>JP1</c:v>
                </c:pt>
                <c:pt idx="7">
                  <c:v>Affald, ikke bionedbrydeligt</c:v>
                </c:pt>
                <c:pt idx="8">
                  <c:v>Biobrændstof</c:v>
                </c:pt>
                <c:pt idx="9">
                  <c:v>Biomasse</c:v>
                </c:pt>
                <c:pt idx="10">
                  <c:v>Fjernvarme</c:v>
                </c:pt>
                <c:pt idx="11">
                  <c:v>Procesvarme fra KV-produktion</c:v>
                </c:pt>
                <c:pt idx="12">
                  <c:v>Biogas</c:v>
                </c:pt>
                <c:pt idx="13">
                  <c:v>Solenergi og jordvarme</c:v>
                </c:pt>
              </c:strCache>
            </c:strRef>
          </c:cat>
          <c:val>
            <c:numRef>
              <c:f>Grafer!$L$732:$L$745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16-5D3B-4877-A77D-E1924104D39F}"/>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da-DK"/>
        </a:p>
      </c:txPr>
    </c:legend>
    <c:plotVisOnly val="1"/>
    <c:dispBlanksAs val="zero"/>
    <c:showDLblsOverMax val="0"/>
  </c:chart>
  <c:printSettings>
    <c:headerFooter/>
    <c:pageMargins b="0.75000000000000278" l="0.70000000000000062" r="0.70000000000000062" t="0.750000000000002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Grafer!$C$911</c:f>
              <c:strCache>
                <c:ptCount val="1"/>
                <c:pt idx="0">
                  <c:v>2018</c:v>
                </c:pt>
              </c:strCache>
            </c:strRef>
          </c:tx>
          <c:spPr>
            <a:solidFill>
              <a:srgbClr val="4BACC6"/>
            </a:solidFill>
          </c:spPr>
          <c:invertIfNegative val="0"/>
          <c:cat>
            <c:strRef>
              <c:f>Grafer!$B$912:$B$920</c:f>
              <c:strCache>
                <c:ptCount val="9"/>
                <c:pt idx="0">
                  <c:v>Fjernvarme</c:v>
                </c:pt>
                <c:pt idx="1">
                  <c:v>Naturgasfyr</c:v>
                </c:pt>
                <c:pt idx="2">
                  <c:v>Oliefyr</c:v>
                </c:pt>
                <c:pt idx="3">
                  <c:v>Træpille- og stokerfyr</c:v>
                </c:pt>
                <c:pt idx="4">
                  <c:v>Brændekedel og -ovn</c:v>
                </c:pt>
                <c:pt idx="5">
                  <c:v>Halmfyr</c:v>
                </c:pt>
                <c:pt idx="6">
                  <c:v>Elvarme</c:v>
                </c:pt>
                <c:pt idx="7">
                  <c:v>Individuelle varmepumper</c:v>
                </c:pt>
                <c:pt idx="8">
                  <c:v>Individuel solvarme</c:v>
                </c:pt>
              </c:strCache>
            </c:strRef>
          </c:cat>
          <c:val>
            <c:numRef>
              <c:f>Grafer!$C$912:$C$920</c:f>
              <c:numCache>
                <c:formatCode>#,##0</c:formatCode>
                <c:ptCount val="9"/>
                <c:pt idx="0">
                  <c:v>1770.1573696406606</c:v>
                </c:pt>
                <c:pt idx="1">
                  <c:v>303.875</c:v>
                </c:pt>
                <c:pt idx="2">
                  <c:v>116.56</c:v>
                </c:pt>
                <c:pt idx="3">
                  <c:v>294.75</c:v>
                </c:pt>
                <c:pt idx="4">
                  <c:v>235.3</c:v>
                </c:pt>
                <c:pt idx="5">
                  <c:v>57.655000000000001</c:v>
                </c:pt>
                <c:pt idx="6">
                  <c:v>36.288888888888891</c:v>
                </c:pt>
                <c:pt idx="7">
                  <c:v>27</c:v>
                </c:pt>
                <c:pt idx="8">
                  <c:v>9.3000000000000007</c:v>
                </c:pt>
              </c:numCache>
            </c:numRef>
          </c:val>
          <c:extLst xmlns:c16r2="http://schemas.microsoft.com/office/drawing/2015/06/chart">
            <c:ext xmlns:c16="http://schemas.microsoft.com/office/drawing/2014/chart" uri="{C3380CC4-5D6E-409C-BE32-E72D297353CC}">
              <c16:uniqueId val="{00000000-8425-495C-AE1A-C736F301088B}"/>
            </c:ext>
          </c:extLst>
        </c:ser>
        <c:ser>
          <c:idx val="3"/>
          <c:order val="1"/>
          <c:tx>
            <c:strRef>
              <c:f>Grafer!$D$911</c:f>
              <c:strCache>
                <c:ptCount val="1"/>
                <c:pt idx="0">
                  <c:v>BAU2030</c:v>
                </c:pt>
              </c:strCache>
            </c:strRef>
          </c:tx>
          <c:invertIfNegative val="0"/>
          <c:cat>
            <c:strRef>
              <c:f>Grafer!$B$912:$B$920</c:f>
              <c:strCache>
                <c:ptCount val="9"/>
                <c:pt idx="0">
                  <c:v>Fjernvarme</c:v>
                </c:pt>
                <c:pt idx="1">
                  <c:v>Naturgasfyr</c:v>
                </c:pt>
                <c:pt idx="2">
                  <c:v>Oliefyr</c:v>
                </c:pt>
                <c:pt idx="3">
                  <c:v>Træpille- og stokerfyr</c:v>
                </c:pt>
                <c:pt idx="4">
                  <c:v>Brændekedel og -ovn</c:v>
                </c:pt>
                <c:pt idx="5">
                  <c:v>Halmfyr</c:v>
                </c:pt>
                <c:pt idx="6">
                  <c:v>Elvarme</c:v>
                </c:pt>
                <c:pt idx="7">
                  <c:v>Individuelle varmepumper</c:v>
                </c:pt>
                <c:pt idx="8">
                  <c:v>Individuel solvarme</c:v>
                </c:pt>
              </c:strCache>
            </c:strRef>
          </c:cat>
          <c:val>
            <c:numRef>
              <c:f>Grafer!$D$912:$D$920</c:f>
              <c:numCache>
                <c:formatCode>#,##0</c:formatCode>
                <c:ptCount val="9"/>
                <c:pt idx="0">
                  <c:v>1690.2238269668599</c:v>
                </c:pt>
                <c:pt idx="1">
                  <c:v>233.37599999999998</c:v>
                </c:pt>
                <c:pt idx="2">
                  <c:v>33.569279999999999</c:v>
                </c:pt>
                <c:pt idx="3">
                  <c:v>302.08349999999996</c:v>
                </c:pt>
                <c:pt idx="4">
                  <c:v>225.88800000000001</c:v>
                </c:pt>
                <c:pt idx="5">
                  <c:v>55.348800000000004</c:v>
                </c:pt>
                <c:pt idx="6">
                  <c:v>36.288888888888891</c:v>
                </c:pt>
                <c:pt idx="7">
                  <c:v>121.49</c:v>
                </c:pt>
                <c:pt idx="8">
                  <c:v>9.3000000000000007</c:v>
                </c:pt>
              </c:numCache>
            </c:numRef>
          </c:val>
          <c:extLst xmlns:c16r2="http://schemas.microsoft.com/office/drawing/2015/06/chart">
            <c:ext xmlns:c16="http://schemas.microsoft.com/office/drawing/2014/chart" uri="{C3380CC4-5D6E-409C-BE32-E72D297353CC}">
              <c16:uniqueId val="{00000001-8425-495C-AE1A-C736F301088B}"/>
            </c:ext>
          </c:extLst>
        </c:ser>
        <c:dLbls>
          <c:showLegendKey val="0"/>
          <c:showVal val="0"/>
          <c:showCatName val="0"/>
          <c:showSerName val="0"/>
          <c:showPercent val="0"/>
          <c:showBubbleSize val="0"/>
        </c:dLbls>
        <c:gapWidth val="150"/>
        <c:axId val="315562976"/>
        <c:axId val="315564544"/>
      </c:barChart>
      <c:catAx>
        <c:axId val="315562976"/>
        <c:scaling>
          <c:orientation val="minMax"/>
        </c:scaling>
        <c:delete val="0"/>
        <c:axPos val="b"/>
        <c:numFmt formatCode="General" sourceLinked="0"/>
        <c:majorTickMark val="out"/>
        <c:minorTickMark val="none"/>
        <c:tickLblPos val="low"/>
        <c:txPr>
          <a:bodyPr rot="-5400000" vert="horz"/>
          <a:lstStyle/>
          <a:p>
            <a:pPr>
              <a:defRPr/>
            </a:pPr>
            <a:endParaRPr lang="da-DK"/>
          </a:p>
        </c:txPr>
        <c:crossAx val="315564544"/>
        <c:crosses val="autoZero"/>
        <c:auto val="1"/>
        <c:lblAlgn val="ctr"/>
        <c:lblOffset val="100"/>
        <c:noMultiLvlLbl val="0"/>
      </c:catAx>
      <c:valAx>
        <c:axId val="315564544"/>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315562976"/>
        <c:crosses val="autoZero"/>
        <c:crossBetween val="between"/>
      </c:valAx>
    </c:plotArea>
    <c:legend>
      <c:legendPos val="r"/>
      <c:overlay val="0"/>
    </c:legend>
    <c:plotVisOnly val="1"/>
    <c:dispBlanksAs val="gap"/>
    <c:showDLblsOverMax val="0"/>
  </c:chart>
  <c:printSettings>
    <c:headerFooter/>
    <c:pageMargins b="0.75000000000001277" l="0.70000000000000062" r="0.70000000000000062" t="0.75000000000001277"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Grafer!$B$912</c:f>
              <c:strCache>
                <c:ptCount val="1"/>
                <c:pt idx="0">
                  <c:v>Fjernvarme</c:v>
                </c:pt>
              </c:strCache>
            </c:strRef>
          </c:tx>
          <c:spPr>
            <a:solidFill>
              <a:srgbClr val="4BACC6"/>
            </a:solidFill>
          </c:spPr>
          <c:invertIfNegative val="0"/>
          <c:cat>
            <c:strRef>
              <c:f>Grafer!$C$911:$E$911</c:f>
              <c:strCache>
                <c:ptCount val="3"/>
                <c:pt idx="0">
                  <c:v>2018</c:v>
                </c:pt>
                <c:pt idx="1">
                  <c:v>BAU2030</c:v>
                </c:pt>
                <c:pt idx="2">
                  <c:v>BAU2050</c:v>
                </c:pt>
              </c:strCache>
            </c:strRef>
          </c:cat>
          <c:val>
            <c:numRef>
              <c:f>Grafer!$C$912:$E$912</c:f>
              <c:numCache>
                <c:formatCode>#,##0</c:formatCode>
                <c:ptCount val="3"/>
                <c:pt idx="0">
                  <c:v>1770.1573696406606</c:v>
                </c:pt>
                <c:pt idx="1">
                  <c:v>1690.2238269668599</c:v>
                </c:pt>
                <c:pt idx="2">
                  <c:v>1588.7534030977215</c:v>
                </c:pt>
              </c:numCache>
            </c:numRef>
          </c:val>
          <c:extLst xmlns:c16r2="http://schemas.microsoft.com/office/drawing/2015/06/chart">
            <c:ext xmlns:c16="http://schemas.microsoft.com/office/drawing/2014/chart" uri="{C3380CC4-5D6E-409C-BE32-E72D297353CC}">
              <c16:uniqueId val="{00000000-46A1-408E-A8D5-3292EF40FB60}"/>
            </c:ext>
          </c:extLst>
        </c:ser>
        <c:ser>
          <c:idx val="1"/>
          <c:order val="1"/>
          <c:tx>
            <c:strRef>
              <c:f>Grafer!$B$913</c:f>
              <c:strCache>
                <c:ptCount val="1"/>
                <c:pt idx="0">
                  <c:v>Naturgasfyr</c:v>
                </c:pt>
              </c:strCache>
            </c:strRef>
          </c:tx>
          <c:spPr>
            <a:solidFill>
              <a:srgbClr val="695185"/>
            </a:solidFill>
          </c:spPr>
          <c:invertIfNegative val="0"/>
          <c:cat>
            <c:strRef>
              <c:f>Grafer!$C$911:$E$911</c:f>
              <c:strCache>
                <c:ptCount val="3"/>
                <c:pt idx="0">
                  <c:v>2018</c:v>
                </c:pt>
                <c:pt idx="1">
                  <c:v>BAU2030</c:v>
                </c:pt>
                <c:pt idx="2">
                  <c:v>BAU2050</c:v>
                </c:pt>
              </c:strCache>
            </c:strRef>
          </c:cat>
          <c:val>
            <c:numRef>
              <c:f>Grafer!$C$913:$E$913</c:f>
              <c:numCache>
                <c:formatCode>#,##0</c:formatCode>
                <c:ptCount val="3"/>
                <c:pt idx="0">
                  <c:v>303.875</c:v>
                </c:pt>
                <c:pt idx="1">
                  <c:v>233.37599999999998</c:v>
                </c:pt>
                <c:pt idx="2">
                  <c:v>233.37599999999998</c:v>
                </c:pt>
              </c:numCache>
            </c:numRef>
          </c:val>
          <c:extLst xmlns:c16r2="http://schemas.microsoft.com/office/drawing/2015/06/chart">
            <c:ext xmlns:c16="http://schemas.microsoft.com/office/drawing/2014/chart" uri="{C3380CC4-5D6E-409C-BE32-E72D297353CC}">
              <c16:uniqueId val="{00000001-46A1-408E-A8D5-3292EF40FB60}"/>
            </c:ext>
          </c:extLst>
        </c:ser>
        <c:ser>
          <c:idx val="2"/>
          <c:order val="2"/>
          <c:tx>
            <c:strRef>
              <c:f>Grafer!$B$914</c:f>
              <c:strCache>
                <c:ptCount val="1"/>
                <c:pt idx="0">
                  <c:v>Oliefyr</c:v>
                </c:pt>
              </c:strCache>
            </c:strRef>
          </c:tx>
          <c:spPr>
            <a:solidFill>
              <a:srgbClr val="CC7B38"/>
            </a:solidFill>
          </c:spPr>
          <c:invertIfNegative val="0"/>
          <c:cat>
            <c:strRef>
              <c:f>Grafer!$C$911:$E$911</c:f>
              <c:strCache>
                <c:ptCount val="3"/>
                <c:pt idx="0">
                  <c:v>2018</c:v>
                </c:pt>
                <c:pt idx="1">
                  <c:v>BAU2030</c:v>
                </c:pt>
                <c:pt idx="2">
                  <c:v>BAU2050</c:v>
                </c:pt>
              </c:strCache>
            </c:strRef>
          </c:cat>
          <c:val>
            <c:numRef>
              <c:f>Grafer!$C$914:$E$914</c:f>
              <c:numCache>
                <c:formatCode>#,##0</c:formatCode>
                <c:ptCount val="3"/>
                <c:pt idx="0">
                  <c:v>116.56</c:v>
                </c:pt>
                <c:pt idx="1">
                  <c:v>33.569279999999999</c:v>
                </c:pt>
                <c:pt idx="2">
                  <c:v>0</c:v>
                </c:pt>
              </c:numCache>
            </c:numRef>
          </c:val>
          <c:extLst xmlns:c16r2="http://schemas.microsoft.com/office/drawing/2015/06/chart">
            <c:ext xmlns:c16="http://schemas.microsoft.com/office/drawing/2014/chart" uri="{C3380CC4-5D6E-409C-BE32-E72D297353CC}">
              <c16:uniqueId val="{00000002-46A1-408E-A8D5-3292EF40FB60}"/>
            </c:ext>
          </c:extLst>
        </c:ser>
        <c:ser>
          <c:idx val="3"/>
          <c:order val="3"/>
          <c:tx>
            <c:strRef>
              <c:f>Grafer!$B$915</c:f>
              <c:strCache>
                <c:ptCount val="1"/>
                <c:pt idx="0">
                  <c:v>Træpille- og stokerfyr</c:v>
                </c:pt>
              </c:strCache>
            </c:strRef>
          </c:tx>
          <c:spPr>
            <a:solidFill>
              <a:srgbClr val="9BBB59"/>
            </a:solidFill>
          </c:spPr>
          <c:invertIfNegative val="0"/>
          <c:cat>
            <c:strRef>
              <c:f>Grafer!$C$911:$E$911</c:f>
              <c:strCache>
                <c:ptCount val="3"/>
                <c:pt idx="0">
                  <c:v>2018</c:v>
                </c:pt>
                <c:pt idx="1">
                  <c:v>BAU2030</c:v>
                </c:pt>
                <c:pt idx="2">
                  <c:v>BAU2050</c:v>
                </c:pt>
              </c:strCache>
            </c:strRef>
          </c:cat>
          <c:val>
            <c:numRef>
              <c:f>Grafer!$C$915:$E$915</c:f>
              <c:numCache>
                <c:formatCode>#,##0</c:formatCode>
                <c:ptCount val="3"/>
                <c:pt idx="0">
                  <c:v>294.75</c:v>
                </c:pt>
                <c:pt idx="1">
                  <c:v>302.08349999999996</c:v>
                </c:pt>
                <c:pt idx="2">
                  <c:v>292.57499999999999</c:v>
                </c:pt>
              </c:numCache>
            </c:numRef>
          </c:val>
          <c:extLst xmlns:c16r2="http://schemas.microsoft.com/office/drawing/2015/06/chart">
            <c:ext xmlns:c16="http://schemas.microsoft.com/office/drawing/2014/chart" uri="{C3380CC4-5D6E-409C-BE32-E72D297353CC}">
              <c16:uniqueId val="{00000003-46A1-408E-A8D5-3292EF40FB60}"/>
            </c:ext>
          </c:extLst>
        </c:ser>
        <c:ser>
          <c:idx val="4"/>
          <c:order val="4"/>
          <c:tx>
            <c:strRef>
              <c:f>Grafer!$B$916</c:f>
              <c:strCache>
                <c:ptCount val="1"/>
                <c:pt idx="0">
                  <c:v>Brændekedel og -ovn</c:v>
                </c:pt>
              </c:strCache>
            </c:strRef>
          </c:tx>
          <c:spPr>
            <a:solidFill>
              <a:srgbClr val="C6D6AC"/>
            </a:solidFill>
          </c:spPr>
          <c:invertIfNegative val="0"/>
          <c:cat>
            <c:strRef>
              <c:f>Grafer!$C$911:$E$911</c:f>
              <c:strCache>
                <c:ptCount val="3"/>
                <c:pt idx="0">
                  <c:v>2018</c:v>
                </c:pt>
                <c:pt idx="1">
                  <c:v>BAU2030</c:v>
                </c:pt>
                <c:pt idx="2">
                  <c:v>BAU2050</c:v>
                </c:pt>
              </c:strCache>
            </c:strRef>
          </c:cat>
          <c:val>
            <c:numRef>
              <c:f>Grafer!$C$916:$E$916</c:f>
              <c:numCache>
                <c:formatCode>#,##0</c:formatCode>
                <c:ptCount val="3"/>
                <c:pt idx="0">
                  <c:v>235.3</c:v>
                </c:pt>
                <c:pt idx="1">
                  <c:v>225.88800000000001</c:v>
                </c:pt>
                <c:pt idx="2">
                  <c:v>211.77</c:v>
                </c:pt>
              </c:numCache>
            </c:numRef>
          </c:val>
          <c:extLst xmlns:c16r2="http://schemas.microsoft.com/office/drawing/2015/06/chart">
            <c:ext xmlns:c16="http://schemas.microsoft.com/office/drawing/2014/chart" uri="{C3380CC4-5D6E-409C-BE32-E72D297353CC}">
              <c16:uniqueId val="{00000004-46A1-408E-A8D5-3292EF40FB60}"/>
            </c:ext>
          </c:extLst>
        </c:ser>
        <c:ser>
          <c:idx val="5"/>
          <c:order val="5"/>
          <c:tx>
            <c:strRef>
              <c:f>Grafer!$B$917</c:f>
              <c:strCache>
                <c:ptCount val="1"/>
                <c:pt idx="0">
                  <c:v>Halmfyr</c:v>
                </c:pt>
              </c:strCache>
            </c:strRef>
          </c:tx>
          <c:spPr>
            <a:solidFill>
              <a:srgbClr val="8064A2"/>
            </a:solidFill>
          </c:spPr>
          <c:invertIfNegative val="0"/>
          <c:cat>
            <c:strRef>
              <c:f>Grafer!$C$911:$E$911</c:f>
              <c:strCache>
                <c:ptCount val="3"/>
                <c:pt idx="0">
                  <c:v>2018</c:v>
                </c:pt>
                <c:pt idx="1">
                  <c:v>BAU2030</c:v>
                </c:pt>
                <c:pt idx="2">
                  <c:v>BAU2050</c:v>
                </c:pt>
              </c:strCache>
            </c:strRef>
          </c:cat>
          <c:val>
            <c:numRef>
              <c:f>Grafer!$C$917:$E$917</c:f>
              <c:numCache>
                <c:formatCode>#,##0</c:formatCode>
                <c:ptCount val="3"/>
                <c:pt idx="0">
                  <c:v>57.655000000000001</c:v>
                </c:pt>
                <c:pt idx="1">
                  <c:v>55.348800000000004</c:v>
                </c:pt>
                <c:pt idx="2">
                  <c:v>51.889499999999998</c:v>
                </c:pt>
              </c:numCache>
            </c:numRef>
          </c:val>
          <c:extLst xmlns:c16r2="http://schemas.microsoft.com/office/drawing/2015/06/chart">
            <c:ext xmlns:c16="http://schemas.microsoft.com/office/drawing/2014/chart" uri="{C3380CC4-5D6E-409C-BE32-E72D297353CC}">
              <c16:uniqueId val="{00000005-46A1-408E-A8D5-3292EF40FB60}"/>
            </c:ext>
          </c:extLst>
        </c:ser>
        <c:ser>
          <c:idx val="6"/>
          <c:order val="6"/>
          <c:tx>
            <c:strRef>
              <c:f>Grafer!$B$918</c:f>
              <c:strCache>
                <c:ptCount val="1"/>
                <c:pt idx="0">
                  <c:v>Elvarme</c:v>
                </c:pt>
              </c:strCache>
            </c:strRef>
          </c:tx>
          <c:spPr>
            <a:solidFill>
              <a:srgbClr val="9E413E"/>
            </a:solidFill>
          </c:spPr>
          <c:invertIfNegative val="0"/>
          <c:cat>
            <c:strRef>
              <c:f>Grafer!$C$911:$E$911</c:f>
              <c:strCache>
                <c:ptCount val="3"/>
                <c:pt idx="0">
                  <c:v>2018</c:v>
                </c:pt>
                <c:pt idx="1">
                  <c:v>BAU2030</c:v>
                </c:pt>
                <c:pt idx="2">
                  <c:v>BAU2050</c:v>
                </c:pt>
              </c:strCache>
            </c:strRef>
          </c:cat>
          <c:val>
            <c:numRef>
              <c:f>Grafer!$C$918:$E$918</c:f>
              <c:numCache>
                <c:formatCode>#,##0</c:formatCode>
                <c:ptCount val="3"/>
                <c:pt idx="0">
                  <c:v>36.288888888888891</c:v>
                </c:pt>
                <c:pt idx="1">
                  <c:v>36.288888888888891</c:v>
                </c:pt>
                <c:pt idx="2">
                  <c:v>36.288888888888891</c:v>
                </c:pt>
              </c:numCache>
            </c:numRef>
          </c:val>
          <c:extLst xmlns:c16r2="http://schemas.microsoft.com/office/drawing/2015/06/chart">
            <c:ext xmlns:c16="http://schemas.microsoft.com/office/drawing/2014/chart" uri="{C3380CC4-5D6E-409C-BE32-E72D297353CC}">
              <c16:uniqueId val="{00000006-46A1-408E-A8D5-3292EF40FB60}"/>
            </c:ext>
          </c:extLst>
        </c:ser>
        <c:ser>
          <c:idx val="7"/>
          <c:order val="7"/>
          <c:tx>
            <c:strRef>
              <c:f>Grafer!$B$919</c:f>
              <c:strCache>
                <c:ptCount val="1"/>
                <c:pt idx="0">
                  <c:v>Individuelle varmepumper</c:v>
                </c:pt>
              </c:strCache>
            </c:strRef>
          </c:tx>
          <c:spPr>
            <a:solidFill>
              <a:srgbClr val="AABAD7"/>
            </a:solidFill>
          </c:spPr>
          <c:invertIfNegative val="0"/>
          <c:cat>
            <c:strRef>
              <c:f>Grafer!$C$911:$E$911</c:f>
              <c:strCache>
                <c:ptCount val="3"/>
                <c:pt idx="0">
                  <c:v>2018</c:v>
                </c:pt>
                <c:pt idx="1">
                  <c:v>BAU2030</c:v>
                </c:pt>
                <c:pt idx="2">
                  <c:v>BAU2050</c:v>
                </c:pt>
              </c:strCache>
            </c:strRef>
          </c:cat>
          <c:val>
            <c:numRef>
              <c:f>Grafer!$C$919:$E$919</c:f>
              <c:numCache>
                <c:formatCode>#,##0</c:formatCode>
                <c:ptCount val="3"/>
                <c:pt idx="0">
                  <c:v>27</c:v>
                </c:pt>
                <c:pt idx="1">
                  <c:v>121.49</c:v>
                </c:pt>
                <c:pt idx="2">
                  <c:v>372</c:v>
                </c:pt>
              </c:numCache>
            </c:numRef>
          </c:val>
          <c:extLst xmlns:c16r2="http://schemas.microsoft.com/office/drawing/2015/06/chart">
            <c:ext xmlns:c16="http://schemas.microsoft.com/office/drawing/2014/chart" uri="{C3380CC4-5D6E-409C-BE32-E72D297353CC}">
              <c16:uniqueId val="{00000007-46A1-408E-A8D5-3292EF40FB60}"/>
            </c:ext>
          </c:extLst>
        </c:ser>
        <c:ser>
          <c:idx val="8"/>
          <c:order val="8"/>
          <c:tx>
            <c:strRef>
              <c:f>Grafer!$B$920</c:f>
              <c:strCache>
                <c:ptCount val="1"/>
                <c:pt idx="0">
                  <c:v>Individuel solvarme</c:v>
                </c:pt>
              </c:strCache>
            </c:strRef>
          </c:tx>
          <c:spPr>
            <a:solidFill>
              <a:srgbClr val="F79646"/>
            </a:solidFill>
          </c:spPr>
          <c:invertIfNegative val="0"/>
          <c:cat>
            <c:strRef>
              <c:f>Grafer!$C$911:$E$911</c:f>
              <c:strCache>
                <c:ptCount val="3"/>
                <c:pt idx="0">
                  <c:v>2018</c:v>
                </c:pt>
                <c:pt idx="1">
                  <c:v>BAU2030</c:v>
                </c:pt>
                <c:pt idx="2">
                  <c:v>BAU2050</c:v>
                </c:pt>
              </c:strCache>
            </c:strRef>
          </c:cat>
          <c:val>
            <c:numRef>
              <c:f>Grafer!$C$920:$E$920</c:f>
              <c:numCache>
                <c:formatCode>#,##0</c:formatCode>
                <c:ptCount val="3"/>
                <c:pt idx="0">
                  <c:v>9.3000000000000007</c:v>
                </c:pt>
                <c:pt idx="1">
                  <c:v>9.3000000000000007</c:v>
                </c:pt>
                <c:pt idx="2">
                  <c:v>9.3000000000000007</c:v>
                </c:pt>
              </c:numCache>
            </c:numRef>
          </c:val>
          <c:extLst xmlns:c16r2="http://schemas.microsoft.com/office/drawing/2015/06/chart">
            <c:ext xmlns:c16="http://schemas.microsoft.com/office/drawing/2014/chart" uri="{C3380CC4-5D6E-409C-BE32-E72D297353CC}">
              <c16:uniqueId val="{00000008-46A1-408E-A8D5-3292EF40FB60}"/>
            </c:ext>
          </c:extLst>
        </c:ser>
        <c:dLbls>
          <c:showLegendKey val="0"/>
          <c:showVal val="0"/>
          <c:showCatName val="0"/>
          <c:showSerName val="0"/>
          <c:showPercent val="0"/>
          <c:showBubbleSize val="0"/>
        </c:dLbls>
        <c:gapWidth val="150"/>
        <c:overlap val="100"/>
        <c:axId val="315566112"/>
        <c:axId val="315566504"/>
      </c:barChart>
      <c:catAx>
        <c:axId val="315566112"/>
        <c:scaling>
          <c:orientation val="minMax"/>
        </c:scaling>
        <c:delete val="0"/>
        <c:axPos val="b"/>
        <c:numFmt formatCode="General" sourceLinked="1"/>
        <c:majorTickMark val="out"/>
        <c:minorTickMark val="none"/>
        <c:tickLblPos val="nextTo"/>
        <c:crossAx val="315566504"/>
        <c:crosses val="autoZero"/>
        <c:auto val="1"/>
        <c:lblAlgn val="ctr"/>
        <c:lblOffset val="100"/>
        <c:noMultiLvlLbl val="0"/>
      </c:catAx>
      <c:valAx>
        <c:axId val="315566504"/>
        <c:scaling>
          <c:orientation val="minMax"/>
        </c:scaling>
        <c:delete val="0"/>
        <c:axPos val="l"/>
        <c:majorGridlines/>
        <c:title>
          <c:tx>
            <c:rich>
              <a:bodyPr rot="-5400000" vert="horz"/>
              <a:lstStyle/>
              <a:p>
                <a:pPr>
                  <a:defRPr/>
                </a:pPr>
                <a:r>
                  <a:rPr lang="da-DK"/>
                  <a:t>TJ/år</a:t>
                </a:r>
              </a:p>
            </c:rich>
          </c:tx>
          <c:overlay val="0"/>
        </c:title>
        <c:numFmt formatCode="#,##0" sourceLinked="1"/>
        <c:majorTickMark val="out"/>
        <c:minorTickMark val="none"/>
        <c:tickLblPos val="nextTo"/>
        <c:crossAx val="315566112"/>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24416666666674"/>
          <c:y val="7.2121212121212128E-2"/>
          <c:w val="0.48654166666666682"/>
          <c:h val="0.88462121212121536"/>
        </c:manualLayout>
      </c:layout>
      <c:pieChart>
        <c:varyColors val="1"/>
        <c:ser>
          <c:idx val="0"/>
          <c:order val="0"/>
          <c:dPt>
            <c:idx val="0"/>
            <c:bubble3D val="0"/>
            <c:spPr>
              <a:solidFill>
                <a:srgbClr val="4BACC6"/>
              </a:solidFill>
            </c:spPr>
            <c:extLst xmlns:c16r2="http://schemas.microsoft.com/office/drawing/2015/06/chart">
              <c:ext xmlns:c16="http://schemas.microsoft.com/office/drawing/2014/chart" uri="{C3380CC4-5D6E-409C-BE32-E72D297353CC}">
                <c16:uniqueId val="{00000001-9653-4977-B1BF-B08498D62900}"/>
              </c:ext>
            </c:extLst>
          </c:dPt>
          <c:dPt>
            <c:idx val="1"/>
            <c:bubble3D val="0"/>
            <c:spPr>
              <a:solidFill>
                <a:srgbClr val="695185"/>
              </a:solidFill>
            </c:spPr>
            <c:extLst xmlns:c16r2="http://schemas.microsoft.com/office/drawing/2015/06/chart">
              <c:ext xmlns:c16="http://schemas.microsoft.com/office/drawing/2014/chart" uri="{C3380CC4-5D6E-409C-BE32-E72D297353CC}">
                <c16:uniqueId val="{00000003-9653-4977-B1BF-B08498D62900}"/>
              </c:ext>
            </c:extLst>
          </c:dPt>
          <c:dPt>
            <c:idx val="2"/>
            <c:bubble3D val="0"/>
            <c:spPr>
              <a:solidFill>
                <a:srgbClr val="CC7B38"/>
              </a:solidFill>
            </c:spPr>
            <c:extLst xmlns:c16r2="http://schemas.microsoft.com/office/drawing/2015/06/chart">
              <c:ext xmlns:c16="http://schemas.microsoft.com/office/drawing/2014/chart" uri="{C3380CC4-5D6E-409C-BE32-E72D297353CC}">
                <c16:uniqueId val="{00000005-9653-4977-B1BF-B08498D62900}"/>
              </c:ext>
            </c:extLst>
          </c:dPt>
          <c:dPt>
            <c:idx val="3"/>
            <c:bubble3D val="0"/>
            <c:spPr>
              <a:solidFill>
                <a:srgbClr val="9BBB59"/>
              </a:solidFill>
            </c:spPr>
            <c:extLst xmlns:c16r2="http://schemas.microsoft.com/office/drawing/2015/06/chart">
              <c:ext xmlns:c16="http://schemas.microsoft.com/office/drawing/2014/chart" uri="{C3380CC4-5D6E-409C-BE32-E72D297353CC}">
                <c16:uniqueId val="{00000007-9653-4977-B1BF-B08498D62900}"/>
              </c:ext>
            </c:extLst>
          </c:dPt>
          <c:dPt>
            <c:idx val="4"/>
            <c:bubble3D val="0"/>
            <c:spPr>
              <a:solidFill>
                <a:srgbClr val="C6D6AC"/>
              </a:solidFill>
            </c:spPr>
            <c:extLst xmlns:c16r2="http://schemas.microsoft.com/office/drawing/2015/06/chart">
              <c:ext xmlns:c16="http://schemas.microsoft.com/office/drawing/2014/chart" uri="{C3380CC4-5D6E-409C-BE32-E72D297353CC}">
                <c16:uniqueId val="{00000009-9653-4977-B1BF-B08498D62900}"/>
              </c:ext>
            </c:extLst>
          </c:dPt>
          <c:dPt>
            <c:idx val="5"/>
            <c:bubble3D val="0"/>
            <c:spPr>
              <a:solidFill>
                <a:srgbClr val="8064A2"/>
              </a:solidFill>
            </c:spPr>
            <c:extLst xmlns:c16r2="http://schemas.microsoft.com/office/drawing/2015/06/chart">
              <c:ext xmlns:c16="http://schemas.microsoft.com/office/drawing/2014/chart" uri="{C3380CC4-5D6E-409C-BE32-E72D297353CC}">
                <c16:uniqueId val="{0000000B-9653-4977-B1BF-B08498D62900}"/>
              </c:ext>
            </c:extLst>
          </c:dPt>
          <c:dPt>
            <c:idx val="6"/>
            <c:bubble3D val="0"/>
            <c:spPr>
              <a:solidFill>
                <a:srgbClr val="9E413E"/>
              </a:solidFill>
            </c:spPr>
            <c:extLst xmlns:c16r2="http://schemas.microsoft.com/office/drawing/2015/06/chart">
              <c:ext xmlns:c16="http://schemas.microsoft.com/office/drawing/2014/chart" uri="{C3380CC4-5D6E-409C-BE32-E72D297353CC}">
                <c16:uniqueId val="{0000000D-9653-4977-B1BF-B08498D62900}"/>
              </c:ext>
            </c:extLst>
          </c:dPt>
          <c:dPt>
            <c:idx val="7"/>
            <c:bubble3D val="0"/>
            <c:spPr>
              <a:solidFill>
                <a:srgbClr val="AABAD7"/>
              </a:solidFill>
            </c:spPr>
            <c:extLst xmlns:c16r2="http://schemas.microsoft.com/office/drawing/2015/06/chart">
              <c:ext xmlns:c16="http://schemas.microsoft.com/office/drawing/2014/chart" uri="{C3380CC4-5D6E-409C-BE32-E72D297353CC}">
                <c16:uniqueId val="{0000000F-9653-4977-B1BF-B08498D62900}"/>
              </c:ext>
            </c:extLst>
          </c:dPt>
          <c:dPt>
            <c:idx val="8"/>
            <c:bubble3D val="0"/>
            <c:spPr>
              <a:solidFill>
                <a:srgbClr val="F79646"/>
              </a:solidFill>
            </c:spPr>
            <c:extLst xmlns:c16r2="http://schemas.microsoft.com/office/drawing/2015/06/chart">
              <c:ext xmlns:c16="http://schemas.microsoft.com/office/drawing/2014/chart" uri="{C3380CC4-5D6E-409C-BE32-E72D297353CC}">
                <c16:uniqueId val="{00000011-9653-4977-B1BF-B08498D62900}"/>
              </c:ext>
            </c:extLst>
          </c:dPt>
          <c:dLbls>
            <c:spPr>
              <a:noFill/>
              <a:ln>
                <a:noFill/>
              </a:ln>
              <a:effectLst/>
            </c:spPr>
            <c:txPr>
              <a:bodyPr/>
              <a:lstStyle/>
              <a:p>
                <a:pPr>
                  <a:defRPr b="1"/>
                </a:pPr>
                <a:endParaRPr lang="da-DK"/>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Grafer!$B$912:$B$920</c:f>
              <c:strCache>
                <c:ptCount val="9"/>
                <c:pt idx="0">
                  <c:v>Fjernvarme</c:v>
                </c:pt>
                <c:pt idx="1">
                  <c:v>Naturgasfyr</c:v>
                </c:pt>
                <c:pt idx="2">
                  <c:v>Oliefyr</c:v>
                </c:pt>
                <c:pt idx="3">
                  <c:v>Træpille- og stokerfyr</c:v>
                </c:pt>
                <c:pt idx="4">
                  <c:v>Brændekedel og -ovn</c:v>
                </c:pt>
                <c:pt idx="5">
                  <c:v>Halmfyr</c:v>
                </c:pt>
                <c:pt idx="6">
                  <c:v>Elvarme</c:v>
                </c:pt>
                <c:pt idx="7">
                  <c:v>Individuelle varmepumper</c:v>
                </c:pt>
                <c:pt idx="8">
                  <c:v>Individuel solvarme</c:v>
                </c:pt>
              </c:strCache>
            </c:strRef>
          </c:cat>
          <c:val>
            <c:numRef>
              <c:f>Grafer!$C$911:$C$920</c:f>
              <c:numCache>
                <c:formatCode>#,##0</c:formatCode>
                <c:ptCount val="10"/>
                <c:pt idx="0" formatCode="General">
                  <c:v>2018</c:v>
                </c:pt>
                <c:pt idx="1">
                  <c:v>1770.1573696406606</c:v>
                </c:pt>
                <c:pt idx="2">
                  <c:v>303.875</c:v>
                </c:pt>
                <c:pt idx="3">
                  <c:v>116.56</c:v>
                </c:pt>
                <c:pt idx="4">
                  <c:v>294.75</c:v>
                </c:pt>
                <c:pt idx="5">
                  <c:v>235.3</c:v>
                </c:pt>
                <c:pt idx="6">
                  <c:v>57.655000000000001</c:v>
                </c:pt>
                <c:pt idx="7">
                  <c:v>36.288888888888891</c:v>
                </c:pt>
                <c:pt idx="8">
                  <c:v>27</c:v>
                </c:pt>
                <c:pt idx="9">
                  <c:v>9.3000000000000007</c:v>
                </c:pt>
              </c:numCache>
            </c:numRef>
          </c:val>
          <c:extLst xmlns:c16r2="http://schemas.microsoft.com/office/drawing/2015/06/chart">
            <c:ext xmlns:c16="http://schemas.microsoft.com/office/drawing/2014/chart" uri="{C3380CC4-5D6E-409C-BE32-E72D297353CC}">
              <c16:uniqueId val="{00000012-9653-4977-B1BF-B08498D62900}"/>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da-DK"/>
        </a:p>
      </c:txPr>
    </c:legend>
    <c:plotVisOnly val="1"/>
    <c:dispBlanksAs val="zero"/>
    <c:showDLblsOverMax val="0"/>
  </c:chart>
  <c:printSettings>
    <c:headerFooter/>
    <c:pageMargins b="0.75000000000000278" l="0.70000000000000062" r="0.70000000000000062" t="0.750000000000002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5543437399007"/>
          <c:y val="3.465346534653465E-2"/>
          <c:w val="0.6387248699315009"/>
          <c:h val="0.85396039603960394"/>
        </c:manualLayout>
      </c:layout>
      <c:barChart>
        <c:barDir val="col"/>
        <c:grouping val="stacked"/>
        <c:varyColors val="0"/>
        <c:ser>
          <c:idx val="1"/>
          <c:order val="0"/>
          <c:tx>
            <c:strRef>
              <c:f>Grafer!$B$62</c:f>
              <c:strCache>
                <c:ptCount val="1"/>
                <c:pt idx="0">
                  <c:v>VE% Lokal</c:v>
                </c:pt>
              </c:strCache>
            </c:strRef>
          </c:tx>
          <c:spPr>
            <a:solidFill>
              <a:schemeClr val="accent3">
                <a:lumMod val="75000"/>
              </a:schemeClr>
            </a:solidFill>
          </c:spPr>
          <c:invertIfNegative val="0"/>
          <c:dLbls>
            <c:spPr>
              <a:noFill/>
              <a:ln>
                <a:noFill/>
              </a:ln>
              <a:effectLst/>
            </c:spPr>
            <c:txPr>
              <a:bodyPr/>
              <a:lstStyle/>
              <a:p>
                <a:pPr>
                  <a:defRPr b="1">
                    <a:solidFill>
                      <a:schemeClr val="bg1"/>
                    </a:solidFill>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Grafer!$C$60:$G$60</c:f>
              <c:strCache>
                <c:ptCount val="5"/>
                <c:pt idx="0">
                  <c:v>2018</c:v>
                </c:pt>
                <c:pt idx="1">
                  <c:v>BAU2030</c:v>
                </c:pt>
                <c:pt idx="2">
                  <c:v>BAU2050</c:v>
                </c:pt>
                <c:pt idx="3">
                  <c:v>Mål 2030</c:v>
                </c:pt>
                <c:pt idx="4">
                  <c:v>Mål 2050</c:v>
                </c:pt>
              </c:strCache>
            </c:strRef>
          </c:cat>
          <c:val>
            <c:numRef>
              <c:f>Grafer!$C$62:$G$62</c:f>
              <c:numCache>
                <c:formatCode>_(* #,##0.0_);_(* \(#,##0.0\);_(* "-"??_);_(@_)</c:formatCode>
                <c:ptCount val="5"/>
                <c:pt idx="0">
                  <c:v>49.936403140062268</c:v>
                </c:pt>
                <c:pt idx="1">
                  <c:v>63.979769772004168</c:v>
                </c:pt>
                <c:pt idx="2">
                  <c:v>68.08880245060098</c:v>
                </c:pt>
                <c:pt idx="3">
                  <c:v>0</c:v>
                </c:pt>
                <c:pt idx="4">
                  <c:v>0</c:v>
                </c:pt>
              </c:numCache>
            </c:numRef>
          </c:val>
          <c:extLst xmlns:c16r2="http://schemas.microsoft.com/office/drawing/2015/06/chart">
            <c:ext xmlns:c16="http://schemas.microsoft.com/office/drawing/2014/chart" uri="{C3380CC4-5D6E-409C-BE32-E72D297353CC}">
              <c16:uniqueId val="{00000000-2CB9-4BF2-A576-43FB6C0A1612}"/>
            </c:ext>
          </c:extLst>
        </c:ser>
        <c:dLbls>
          <c:showLegendKey val="0"/>
          <c:showVal val="1"/>
          <c:showCatName val="0"/>
          <c:showSerName val="0"/>
          <c:showPercent val="0"/>
          <c:showBubbleSize val="0"/>
        </c:dLbls>
        <c:gapWidth val="150"/>
        <c:overlap val="100"/>
        <c:axId val="315567288"/>
        <c:axId val="315567680"/>
      </c:barChart>
      <c:catAx>
        <c:axId val="3155672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67680"/>
        <c:crosses val="autoZero"/>
        <c:auto val="1"/>
        <c:lblAlgn val="ctr"/>
        <c:lblOffset val="100"/>
        <c:noMultiLvlLbl val="0"/>
      </c:catAx>
      <c:valAx>
        <c:axId val="31556768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VE%</a:t>
                </a:r>
              </a:p>
            </c:rich>
          </c:tx>
          <c:overlay val="0"/>
        </c:title>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67288"/>
        <c:crosses val="autoZero"/>
        <c:crossBetween val="between"/>
      </c:valAx>
    </c:plotArea>
    <c:legend>
      <c:legendPos val="r"/>
      <c:layout>
        <c:manualLayout>
          <c:xMode val="edge"/>
          <c:yMode val="edge"/>
          <c:x val="0.74404562542075592"/>
          <c:y val="0.38185831969024808"/>
          <c:w val="0.16746677558677256"/>
          <c:h val="0.11517268262259296"/>
        </c:manualLayout>
      </c:layout>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44" l="0.70000000000000062" r="0.70000000000000062" t="0.75000000000001144"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5828621692558591"/>
          <c:h val="0.85396039603960394"/>
        </c:manualLayout>
      </c:layout>
      <c:barChart>
        <c:barDir val="col"/>
        <c:grouping val="stacked"/>
        <c:varyColors val="0"/>
        <c:ser>
          <c:idx val="0"/>
          <c:order val="0"/>
          <c:tx>
            <c:strRef>
              <c:f>Grafer!$B$1019</c:f>
              <c:strCache>
                <c:ptCount val="1"/>
                <c:pt idx="0">
                  <c:v>Elforbrug</c:v>
                </c:pt>
              </c:strCache>
            </c:strRef>
          </c:tx>
          <c:invertIfNegative val="0"/>
          <c:cat>
            <c:strRef>
              <c:f>Grafer!$C$1018:$D$1018</c:f>
              <c:strCache>
                <c:ptCount val="2"/>
                <c:pt idx="0">
                  <c:v>Produktion</c:v>
                </c:pt>
                <c:pt idx="1">
                  <c:v>Forbrug</c:v>
                </c:pt>
              </c:strCache>
            </c:strRef>
          </c:cat>
          <c:val>
            <c:numRef>
              <c:f>Grafer!$C$1019:$D$1019</c:f>
              <c:numCache>
                <c:formatCode>#,##0</c:formatCode>
                <c:ptCount val="2"/>
                <c:pt idx="1">
                  <c:v>0</c:v>
                </c:pt>
              </c:numCache>
            </c:numRef>
          </c:val>
          <c:extLst xmlns:c16r2="http://schemas.microsoft.com/office/drawing/2015/06/chart">
            <c:ext xmlns:c16="http://schemas.microsoft.com/office/drawing/2014/chart" uri="{C3380CC4-5D6E-409C-BE32-E72D297353CC}">
              <c16:uniqueId val="{00000000-CD06-464A-AAAA-BCAE1B5ED6D2}"/>
            </c:ext>
          </c:extLst>
        </c:ser>
        <c:ser>
          <c:idx val="2"/>
          <c:order val="1"/>
          <c:tx>
            <c:strRef>
              <c:f>Grafer!$B$1020</c:f>
              <c:strCache>
                <c:ptCount val="1"/>
                <c:pt idx="0">
                  <c:v>Nettab</c:v>
                </c:pt>
              </c:strCache>
            </c:strRef>
          </c:tx>
          <c:invertIfNegative val="0"/>
          <c:cat>
            <c:strRef>
              <c:f>Grafer!$C$1018:$D$1018</c:f>
              <c:strCache>
                <c:ptCount val="2"/>
                <c:pt idx="0">
                  <c:v>Produktion</c:v>
                </c:pt>
                <c:pt idx="1">
                  <c:v>Forbrug</c:v>
                </c:pt>
              </c:strCache>
            </c:strRef>
          </c:cat>
          <c:val>
            <c:numRef>
              <c:f>Grafer!$C$1020:$D$1020</c:f>
              <c:numCache>
                <c:formatCode>#,##0</c:formatCode>
                <c:ptCount val="2"/>
                <c:pt idx="1">
                  <c:v>0</c:v>
                </c:pt>
              </c:numCache>
            </c:numRef>
          </c:val>
          <c:extLst xmlns:c16r2="http://schemas.microsoft.com/office/drawing/2015/06/chart">
            <c:ext xmlns:c16="http://schemas.microsoft.com/office/drawing/2014/chart" uri="{C3380CC4-5D6E-409C-BE32-E72D297353CC}">
              <c16:uniqueId val="{00000001-CD06-464A-AAAA-BCAE1B5ED6D2}"/>
            </c:ext>
          </c:extLst>
        </c:ser>
        <c:ser>
          <c:idx val="3"/>
          <c:order val="2"/>
          <c:tx>
            <c:strRef>
              <c:f>Grafer!$B$1021</c:f>
              <c:strCache>
                <c:ptCount val="1"/>
                <c:pt idx="0">
                  <c:v>Elforbrug til fjernvarmeprod.</c:v>
                </c:pt>
              </c:strCache>
            </c:strRef>
          </c:tx>
          <c:invertIfNegative val="0"/>
          <c:cat>
            <c:strRef>
              <c:f>Grafer!$C$1018:$D$1018</c:f>
              <c:strCache>
                <c:ptCount val="2"/>
                <c:pt idx="0">
                  <c:v>Produktion</c:v>
                </c:pt>
                <c:pt idx="1">
                  <c:v>Forbrug</c:v>
                </c:pt>
              </c:strCache>
            </c:strRef>
          </c:cat>
          <c:val>
            <c:numRef>
              <c:f>Grafer!$C$1021:$D$1021</c:f>
              <c:numCache>
                <c:formatCode>#,##0</c:formatCode>
                <c:ptCount val="2"/>
                <c:pt idx="1">
                  <c:v>0</c:v>
                </c:pt>
              </c:numCache>
            </c:numRef>
          </c:val>
          <c:extLst xmlns:c16r2="http://schemas.microsoft.com/office/drawing/2015/06/chart">
            <c:ext xmlns:c16="http://schemas.microsoft.com/office/drawing/2014/chart" uri="{C3380CC4-5D6E-409C-BE32-E72D297353CC}">
              <c16:uniqueId val="{00000002-CD06-464A-AAAA-BCAE1B5ED6D2}"/>
            </c:ext>
          </c:extLst>
        </c:ser>
        <c:ser>
          <c:idx val="8"/>
          <c:order val="3"/>
          <c:tx>
            <c:strRef>
              <c:f>Grafer!$B$1022</c:f>
              <c:strCache>
                <c:ptCount val="1"/>
              </c:strCache>
            </c:strRef>
          </c:tx>
          <c:spPr>
            <a:solidFill>
              <a:schemeClr val="bg1"/>
            </a:solidFill>
          </c:spPr>
          <c:invertIfNegative val="0"/>
          <c:cat>
            <c:strRef>
              <c:f>Grafer!$C$1018:$D$1018</c:f>
              <c:strCache>
                <c:ptCount val="2"/>
                <c:pt idx="0">
                  <c:v>Produktion</c:v>
                </c:pt>
                <c:pt idx="1">
                  <c:v>Forbrug</c:v>
                </c:pt>
              </c:strCache>
            </c:strRef>
          </c:cat>
          <c:val>
            <c:numRef>
              <c:f>Grafer!$C$1022:$D$1022</c:f>
              <c:numCache>
                <c:formatCode>#,##0</c:formatCode>
                <c:ptCount val="2"/>
              </c:numCache>
            </c:numRef>
          </c:val>
          <c:extLst xmlns:c16r2="http://schemas.microsoft.com/office/drawing/2015/06/chart">
            <c:ext xmlns:c16="http://schemas.microsoft.com/office/drawing/2014/chart" uri="{C3380CC4-5D6E-409C-BE32-E72D297353CC}">
              <c16:uniqueId val="{00000003-CD06-464A-AAAA-BCAE1B5ED6D2}"/>
            </c:ext>
          </c:extLst>
        </c:ser>
        <c:ser>
          <c:idx val="5"/>
          <c:order val="4"/>
          <c:tx>
            <c:strRef>
              <c:f>Grafer!$B$1023</c:f>
              <c:strCache>
                <c:ptCount val="1"/>
                <c:pt idx="0">
                  <c:v>Kraftvarme</c:v>
                </c:pt>
              </c:strCache>
            </c:strRef>
          </c:tx>
          <c:invertIfNegative val="0"/>
          <c:cat>
            <c:strRef>
              <c:f>Grafer!$C$1018:$D$1018</c:f>
              <c:strCache>
                <c:ptCount val="2"/>
                <c:pt idx="0">
                  <c:v>Produktion</c:v>
                </c:pt>
                <c:pt idx="1">
                  <c:v>Forbrug</c:v>
                </c:pt>
              </c:strCache>
            </c:strRef>
          </c:cat>
          <c:val>
            <c:numRef>
              <c:f>Grafer!$C$1023:$D$1023</c:f>
              <c:numCache>
                <c:formatCode>#,##0</c:formatCode>
                <c:ptCount val="2"/>
                <c:pt idx="0">
                  <c:v>0</c:v>
                </c:pt>
              </c:numCache>
            </c:numRef>
          </c:val>
          <c:extLst xmlns:c16r2="http://schemas.microsoft.com/office/drawing/2015/06/chart">
            <c:ext xmlns:c16="http://schemas.microsoft.com/office/drawing/2014/chart" uri="{C3380CC4-5D6E-409C-BE32-E72D297353CC}">
              <c16:uniqueId val="{00000004-CD06-464A-AAAA-BCAE1B5ED6D2}"/>
            </c:ext>
          </c:extLst>
        </c:ser>
        <c:ser>
          <c:idx val="1"/>
          <c:order val="5"/>
          <c:tx>
            <c:strRef>
              <c:f>Grafer!$B$1024</c:f>
              <c:strCache>
                <c:ptCount val="1"/>
                <c:pt idx="0">
                  <c:v>Vindkraft, land</c:v>
                </c:pt>
              </c:strCache>
            </c:strRef>
          </c:tx>
          <c:invertIfNegative val="0"/>
          <c:cat>
            <c:strRef>
              <c:f>Grafer!$C$1018:$D$1018</c:f>
              <c:strCache>
                <c:ptCount val="2"/>
                <c:pt idx="0">
                  <c:v>Produktion</c:v>
                </c:pt>
                <c:pt idx="1">
                  <c:v>Forbrug</c:v>
                </c:pt>
              </c:strCache>
            </c:strRef>
          </c:cat>
          <c:val>
            <c:numRef>
              <c:f>Grafer!$C$1024:$D$1024</c:f>
              <c:numCache>
                <c:formatCode>#,##0</c:formatCode>
                <c:ptCount val="2"/>
                <c:pt idx="0">
                  <c:v>0</c:v>
                </c:pt>
              </c:numCache>
            </c:numRef>
          </c:val>
          <c:extLst xmlns:c16r2="http://schemas.microsoft.com/office/drawing/2015/06/chart">
            <c:ext xmlns:c16="http://schemas.microsoft.com/office/drawing/2014/chart" uri="{C3380CC4-5D6E-409C-BE32-E72D297353CC}">
              <c16:uniqueId val="{00000005-CD06-464A-AAAA-BCAE1B5ED6D2}"/>
            </c:ext>
          </c:extLst>
        </c:ser>
        <c:ser>
          <c:idx val="4"/>
          <c:order val="6"/>
          <c:tx>
            <c:strRef>
              <c:f>Grafer!$B$1025</c:f>
              <c:strCache>
                <c:ptCount val="1"/>
                <c:pt idx="0">
                  <c:v>Vindkraft, kystnære</c:v>
                </c:pt>
              </c:strCache>
            </c:strRef>
          </c:tx>
          <c:invertIfNegative val="0"/>
          <c:cat>
            <c:strRef>
              <c:f>Grafer!$C$1018:$D$1018</c:f>
              <c:strCache>
                <c:ptCount val="2"/>
                <c:pt idx="0">
                  <c:v>Produktion</c:v>
                </c:pt>
                <c:pt idx="1">
                  <c:v>Forbrug</c:v>
                </c:pt>
              </c:strCache>
            </c:strRef>
          </c:cat>
          <c:val>
            <c:numRef>
              <c:f>Grafer!$C$1025:$D$1025</c:f>
              <c:numCache>
                <c:formatCode>#,##0</c:formatCode>
                <c:ptCount val="2"/>
                <c:pt idx="0">
                  <c:v>0</c:v>
                </c:pt>
              </c:numCache>
            </c:numRef>
          </c:val>
          <c:extLst xmlns:c16r2="http://schemas.microsoft.com/office/drawing/2015/06/chart">
            <c:ext xmlns:c16="http://schemas.microsoft.com/office/drawing/2014/chart" uri="{C3380CC4-5D6E-409C-BE32-E72D297353CC}">
              <c16:uniqueId val="{00000006-CD06-464A-AAAA-BCAE1B5ED6D2}"/>
            </c:ext>
          </c:extLst>
        </c:ser>
        <c:ser>
          <c:idx val="6"/>
          <c:order val="7"/>
          <c:tx>
            <c:strRef>
              <c:f>Grafer!$B$1026</c:f>
              <c:strCache>
                <c:ptCount val="1"/>
                <c:pt idx="0">
                  <c:v>Solcelleanlæg, vandkraft mv.</c:v>
                </c:pt>
              </c:strCache>
            </c:strRef>
          </c:tx>
          <c:invertIfNegative val="0"/>
          <c:cat>
            <c:strRef>
              <c:f>Grafer!$C$1018:$D$1018</c:f>
              <c:strCache>
                <c:ptCount val="2"/>
                <c:pt idx="0">
                  <c:v>Produktion</c:v>
                </c:pt>
                <c:pt idx="1">
                  <c:v>Forbrug</c:v>
                </c:pt>
              </c:strCache>
            </c:strRef>
          </c:cat>
          <c:val>
            <c:numRef>
              <c:f>Grafer!$C$1026:$D$1026</c:f>
              <c:numCache>
                <c:formatCode>#,##0</c:formatCode>
                <c:ptCount val="2"/>
                <c:pt idx="0">
                  <c:v>0</c:v>
                </c:pt>
              </c:numCache>
            </c:numRef>
          </c:val>
          <c:extLst xmlns:c16r2="http://schemas.microsoft.com/office/drawing/2015/06/chart">
            <c:ext xmlns:c16="http://schemas.microsoft.com/office/drawing/2014/chart" uri="{C3380CC4-5D6E-409C-BE32-E72D297353CC}">
              <c16:uniqueId val="{00000007-CD06-464A-AAAA-BCAE1B5ED6D2}"/>
            </c:ext>
          </c:extLst>
        </c:ser>
        <c:ser>
          <c:idx val="7"/>
          <c:order val="8"/>
          <c:tx>
            <c:strRef>
              <c:f>Grafer!$B$1027</c:f>
              <c:strCache>
                <c:ptCount val="1"/>
                <c:pt idx="0">
                  <c:v>El-import</c:v>
                </c:pt>
              </c:strCache>
            </c:strRef>
          </c:tx>
          <c:spPr>
            <a:solidFill>
              <a:schemeClr val="accent3">
                <a:lumMod val="75000"/>
              </a:schemeClr>
            </a:solidFill>
          </c:spPr>
          <c:invertIfNegative val="0"/>
          <c:cat>
            <c:strRef>
              <c:f>Grafer!$C$1018:$D$1018</c:f>
              <c:strCache>
                <c:ptCount val="2"/>
                <c:pt idx="0">
                  <c:v>Produktion</c:v>
                </c:pt>
                <c:pt idx="1">
                  <c:v>Forbrug</c:v>
                </c:pt>
              </c:strCache>
            </c:strRef>
          </c:cat>
          <c:val>
            <c:numRef>
              <c:f>Grafer!$C$1027:$D$1027</c:f>
              <c:numCache>
                <c:formatCode>#,##0</c:formatCode>
                <c:ptCount val="2"/>
                <c:pt idx="0">
                  <c:v>0</c:v>
                </c:pt>
              </c:numCache>
            </c:numRef>
          </c:val>
          <c:extLst xmlns:c16r2="http://schemas.microsoft.com/office/drawing/2015/06/chart">
            <c:ext xmlns:c16="http://schemas.microsoft.com/office/drawing/2014/chart" uri="{C3380CC4-5D6E-409C-BE32-E72D297353CC}">
              <c16:uniqueId val="{00000008-CD06-464A-AAAA-BCAE1B5ED6D2}"/>
            </c:ext>
          </c:extLst>
        </c:ser>
        <c:dLbls>
          <c:showLegendKey val="0"/>
          <c:showVal val="0"/>
          <c:showCatName val="0"/>
          <c:showSerName val="0"/>
          <c:showPercent val="0"/>
          <c:showBubbleSize val="0"/>
        </c:dLbls>
        <c:gapWidth val="150"/>
        <c:overlap val="100"/>
        <c:axId val="315577088"/>
        <c:axId val="315577480"/>
      </c:barChart>
      <c:catAx>
        <c:axId val="3155770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77480"/>
        <c:crosses val="autoZero"/>
        <c:auto val="1"/>
        <c:lblAlgn val="ctr"/>
        <c:lblOffset val="100"/>
        <c:noMultiLvlLbl val="0"/>
      </c:catAx>
      <c:valAx>
        <c:axId val="3155774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77088"/>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277" l="0.70000000000000062" r="0.70000000000000062" t="0.75000000000001277"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59008484074624901"/>
          <c:h val="0.85396039603960394"/>
        </c:manualLayout>
      </c:layout>
      <c:barChart>
        <c:barDir val="col"/>
        <c:grouping val="stacked"/>
        <c:varyColors val="0"/>
        <c:ser>
          <c:idx val="6"/>
          <c:order val="0"/>
          <c:tx>
            <c:strRef>
              <c:f>Grafer!$B$1063</c:f>
              <c:strCache>
                <c:ptCount val="1"/>
                <c:pt idx="0">
                  <c:v>Elforbrug</c:v>
                </c:pt>
              </c:strCache>
            </c:strRef>
          </c:tx>
          <c:invertIfNegative val="0"/>
          <c:cat>
            <c:strRef>
              <c:f>Grafer!$C$1062:$D$1062</c:f>
              <c:strCache>
                <c:ptCount val="2"/>
                <c:pt idx="0">
                  <c:v>Produktion</c:v>
                </c:pt>
                <c:pt idx="1">
                  <c:v>Forbrug</c:v>
                </c:pt>
              </c:strCache>
            </c:strRef>
          </c:cat>
          <c:val>
            <c:numRef>
              <c:f>Grafer!$C$1063:$D$1063</c:f>
              <c:numCache>
                <c:formatCode>#,##0</c:formatCode>
                <c:ptCount val="2"/>
                <c:pt idx="1">
                  <c:v>1523.7080781374202</c:v>
                </c:pt>
              </c:numCache>
            </c:numRef>
          </c:val>
          <c:extLst xmlns:c16r2="http://schemas.microsoft.com/office/drawing/2015/06/chart">
            <c:ext xmlns:c16="http://schemas.microsoft.com/office/drawing/2014/chart" uri="{C3380CC4-5D6E-409C-BE32-E72D297353CC}">
              <c16:uniqueId val="{00000000-BB1A-4FE7-9554-033A4362B87A}"/>
            </c:ext>
          </c:extLst>
        </c:ser>
        <c:ser>
          <c:idx val="15"/>
          <c:order val="1"/>
          <c:tx>
            <c:strRef>
              <c:f>Grafer!$B$1064</c:f>
              <c:strCache>
                <c:ptCount val="1"/>
                <c:pt idx="0">
                  <c:v>Nettab</c:v>
                </c:pt>
              </c:strCache>
            </c:strRef>
          </c:tx>
          <c:spPr>
            <a:solidFill>
              <a:schemeClr val="accent3">
                <a:lumMod val="75000"/>
              </a:schemeClr>
            </a:solidFill>
          </c:spPr>
          <c:invertIfNegative val="0"/>
          <c:cat>
            <c:strRef>
              <c:f>Grafer!$C$1062:$D$1062</c:f>
              <c:strCache>
                <c:ptCount val="2"/>
                <c:pt idx="0">
                  <c:v>Produktion</c:v>
                </c:pt>
                <c:pt idx="1">
                  <c:v>Forbrug</c:v>
                </c:pt>
              </c:strCache>
            </c:strRef>
          </c:cat>
          <c:val>
            <c:numRef>
              <c:f>Grafer!$C$1064:$D$1064</c:f>
              <c:numCache>
                <c:formatCode>#,##0</c:formatCode>
                <c:ptCount val="2"/>
                <c:pt idx="1">
                  <c:v>135.20109784235137</c:v>
                </c:pt>
              </c:numCache>
            </c:numRef>
          </c:val>
          <c:extLst xmlns:c16r2="http://schemas.microsoft.com/office/drawing/2015/06/chart">
            <c:ext xmlns:c16="http://schemas.microsoft.com/office/drawing/2014/chart" uri="{C3380CC4-5D6E-409C-BE32-E72D297353CC}">
              <c16:uniqueId val="{00000001-BB1A-4FE7-9554-033A4362B87A}"/>
            </c:ext>
          </c:extLst>
        </c:ser>
        <c:ser>
          <c:idx val="3"/>
          <c:order val="2"/>
          <c:tx>
            <c:strRef>
              <c:f>Grafer!$B$1065</c:f>
              <c:strCache>
                <c:ptCount val="1"/>
                <c:pt idx="0">
                  <c:v>Elforbrug til fjernvarmeprod.</c:v>
                </c:pt>
              </c:strCache>
            </c:strRef>
          </c:tx>
          <c:invertIfNegative val="0"/>
          <c:cat>
            <c:strRef>
              <c:f>Grafer!$C$1062:$D$1062</c:f>
              <c:strCache>
                <c:ptCount val="2"/>
                <c:pt idx="0">
                  <c:v>Produktion</c:v>
                </c:pt>
                <c:pt idx="1">
                  <c:v>Forbrug</c:v>
                </c:pt>
              </c:strCache>
            </c:strRef>
          </c:cat>
          <c:val>
            <c:numRef>
              <c:f>Grafer!$C$1065:$D$1065</c:f>
              <c:numCache>
                <c:formatCode>#,##0</c:formatCode>
                <c:ptCount val="2"/>
                <c:pt idx="1">
                  <c:v>0</c:v>
                </c:pt>
              </c:numCache>
            </c:numRef>
          </c:val>
          <c:extLst xmlns:c16r2="http://schemas.microsoft.com/office/drawing/2015/06/chart">
            <c:ext xmlns:c16="http://schemas.microsoft.com/office/drawing/2014/chart" uri="{C3380CC4-5D6E-409C-BE32-E72D297353CC}">
              <c16:uniqueId val="{00000002-BB1A-4FE7-9554-033A4362B87A}"/>
            </c:ext>
          </c:extLst>
        </c:ser>
        <c:ser>
          <c:idx val="1"/>
          <c:order val="3"/>
          <c:tx>
            <c:strRef>
              <c:f>Grafer!$B$1066</c:f>
              <c:strCache>
                <c:ptCount val="1"/>
              </c:strCache>
            </c:strRef>
          </c:tx>
          <c:spPr>
            <a:solidFill>
              <a:schemeClr val="bg1"/>
            </a:solidFill>
          </c:spPr>
          <c:invertIfNegative val="0"/>
          <c:cat>
            <c:strRef>
              <c:f>Grafer!$C$1062:$D$1062</c:f>
              <c:strCache>
                <c:ptCount val="2"/>
                <c:pt idx="0">
                  <c:v>Produktion</c:v>
                </c:pt>
                <c:pt idx="1">
                  <c:v>Forbrug</c:v>
                </c:pt>
              </c:strCache>
            </c:strRef>
          </c:cat>
          <c:val>
            <c:numRef>
              <c:f>Grafer!$C$1066:$D$1066</c:f>
              <c:numCache>
                <c:formatCode>#,##0</c:formatCode>
                <c:ptCount val="2"/>
              </c:numCache>
            </c:numRef>
          </c:val>
          <c:extLst xmlns:c16r2="http://schemas.microsoft.com/office/drawing/2015/06/chart">
            <c:ext xmlns:c16="http://schemas.microsoft.com/office/drawing/2014/chart" uri="{C3380CC4-5D6E-409C-BE32-E72D297353CC}">
              <c16:uniqueId val="{00000003-BB1A-4FE7-9554-033A4362B87A}"/>
            </c:ext>
          </c:extLst>
        </c:ser>
        <c:ser>
          <c:idx val="5"/>
          <c:order val="4"/>
          <c:tx>
            <c:strRef>
              <c:f>Grafer!$B$1067</c:f>
              <c:strCache>
                <c:ptCount val="1"/>
                <c:pt idx="0">
                  <c:v>Brændselsolie/diesel</c:v>
                </c:pt>
              </c:strCache>
            </c:strRef>
          </c:tx>
          <c:invertIfNegative val="0"/>
          <c:cat>
            <c:strRef>
              <c:f>Grafer!$C$1062:$D$1062</c:f>
              <c:strCache>
                <c:ptCount val="2"/>
                <c:pt idx="0">
                  <c:v>Produktion</c:v>
                </c:pt>
                <c:pt idx="1">
                  <c:v>Forbrug</c:v>
                </c:pt>
              </c:strCache>
            </c:strRef>
          </c:cat>
          <c:val>
            <c:numRef>
              <c:f>Grafer!$C$1067:$D$1067</c:f>
              <c:numCache>
                <c:formatCode>#,##0</c:formatCode>
                <c:ptCount val="2"/>
                <c:pt idx="0">
                  <c:v>0</c:v>
                </c:pt>
              </c:numCache>
            </c:numRef>
          </c:val>
          <c:extLst xmlns:c16r2="http://schemas.microsoft.com/office/drawing/2015/06/chart">
            <c:ext xmlns:c16="http://schemas.microsoft.com/office/drawing/2014/chart" uri="{C3380CC4-5D6E-409C-BE32-E72D297353CC}">
              <c16:uniqueId val="{00000004-BB1A-4FE7-9554-033A4362B87A}"/>
            </c:ext>
          </c:extLst>
        </c:ser>
        <c:ser>
          <c:idx val="2"/>
          <c:order val="5"/>
          <c:tx>
            <c:strRef>
              <c:f>Grafer!$B$1068</c:f>
              <c:strCache>
                <c:ptCount val="1"/>
                <c:pt idx="0">
                  <c:v>Kul</c:v>
                </c:pt>
              </c:strCache>
            </c:strRef>
          </c:tx>
          <c:invertIfNegative val="0"/>
          <c:cat>
            <c:strRef>
              <c:f>Grafer!$C$1062:$D$1062</c:f>
              <c:strCache>
                <c:ptCount val="2"/>
                <c:pt idx="0">
                  <c:v>Produktion</c:v>
                </c:pt>
                <c:pt idx="1">
                  <c:v>Forbrug</c:v>
                </c:pt>
              </c:strCache>
            </c:strRef>
          </c:cat>
          <c:val>
            <c:numRef>
              <c:f>Grafer!$C$1068:$D$1068</c:f>
              <c:numCache>
                <c:formatCode>#,##0</c:formatCode>
                <c:ptCount val="2"/>
                <c:pt idx="0">
                  <c:v>1.8228000000000002</c:v>
                </c:pt>
              </c:numCache>
            </c:numRef>
          </c:val>
          <c:extLst xmlns:c16r2="http://schemas.microsoft.com/office/drawing/2015/06/chart">
            <c:ext xmlns:c16="http://schemas.microsoft.com/office/drawing/2014/chart" uri="{C3380CC4-5D6E-409C-BE32-E72D297353CC}">
              <c16:uniqueId val="{00000005-BB1A-4FE7-9554-033A4362B87A}"/>
            </c:ext>
          </c:extLst>
        </c:ser>
        <c:ser>
          <c:idx val="4"/>
          <c:order val="6"/>
          <c:tx>
            <c:strRef>
              <c:f>Grafer!$B$1069</c:f>
              <c:strCache>
                <c:ptCount val="1"/>
                <c:pt idx="0">
                  <c:v>Fuelolie</c:v>
                </c:pt>
              </c:strCache>
            </c:strRef>
          </c:tx>
          <c:invertIfNegative val="0"/>
          <c:cat>
            <c:strRef>
              <c:f>Grafer!$C$1062:$D$1062</c:f>
              <c:strCache>
                <c:ptCount val="2"/>
                <c:pt idx="0">
                  <c:v>Produktion</c:v>
                </c:pt>
                <c:pt idx="1">
                  <c:v>Forbrug</c:v>
                </c:pt>
              </c:strCache>
            </c:strRef>
          </c:cat>
          <c:val>
            <c:numRef>
              <c:f>Grafer!$C$1069:$D$1069</c:f>
              <c:numCache>
                <c:formatCode>#,##0</c:formatCode>
                <c:ptCount val="2"/>
                <c:pt idx="0">
                  <c:v>0</c:v>
                </c:pt>
              </c:numCache>
            </c:numRef>
          </c:val>
          <c:extLst xmlns:c16r2="http://schemas.microsoft.com/office/drawing/2015/06/chart">
            <c:ext xmlns:c16="http://schemas.microsoft.com/office/drawing/2014/chart" uri="{C3380CC4-5D6E-409C-BE32-E72D297353CC}">
              <c16:uniqueId val="{00000006-BB1A-4FE7-9554-033A4362B87A}"/>
            </c:ext>
          </c:extLst>
        </c:ser>
        <c:ser>
          <c:idx val="14"/>
          <c:order val="7"/>
          <c:tx>
            <c:strRef>
              <c:f>Grafer!$B$1070</c:f>
              <c:strCache>
                <c:ptCount val="1"/>
                <c:pt idx="0">
                  <c:v>Naturgas</c:v>
                </c:pt>
              </c:strCache>
            </c:strRef>
          </c:tx>
          <c:spPr>
            <a:solidFill>
              <a:schemeClr val="accent6">
                <a:lumMod val="75000"/>
              </a:schemeClr>
            </a:solidFill>
          </c:spPr>
          <c:invertIfNegative val="0"/>
          <c:cat>
            <c:strRef>
              <c:f>Grafer!$C$1062:$D$1062</c:f>
              <c:strCache>
                <c:ptCount val="2"/>
                <c:pt idx="0">
                  <c:v>Produktion</c:v>
                </c:pt>
                <c:pt idx="1">
                  <c:v>Forbrug</c:v>
                </c:pt>
              </c:strCache>
            </c:strRef>
          </c:cat>
          <c:val>
            <c:numRef>
              <c:f>Grafer!$C$1070:$D$1070</c:f>
              <c:numCache>
                <c:formatCode>#,##0</c:formatCode>
                <c:ptCount val="2"/>
                <c:pt idx="0">
                  <c:v>39.7256</c:v>
                </c:pt>
              </c:numCache>
            </c:numRef>
          </c:val>
          <c:extLst xmlns:c16r2="http://schemas.microsoft.com/office/drawing/2015/06/chart">
            <c:ext xmlns:c16="http://schemas.microsoft.com/office/drawing/2014/chart" uri="{C3380CC4-5D6E-409C-BE32-E72D297353CC}">
              <c16:uniqueId val="{00000007-BB1A-4FE7-9554-033A4362B87A}"/>
            </c:ext>
          </c:extLst>
        </c:ser>
        <c:ser>
          <c:idx val="13"/>
          <c:order val="8"/>
          <c:tx>
            <c:strRef>
              <c:f>Grafer!$B$1071</c:f>
              <c:strCache>
                <c:ptCount val="1"/>
                <c:pt idx="0">
                  <c:v>Affald, ikke bionedbrydeligt</c:v>
                </c:pt>
              </c:strCache>
            </c:strRef>
          </c:tx>
          <c:spPr>
            <a:solidFill>
              <a:schemeClr val="accent4">
                <a:lumMod val="75000"/>
              </a:schemeClr>
            </a:solidFill>
          </c:spPr>
          <c:invertIfNegative val="0"/>
          <c:cat>
            <c:strRef>
              <c:f>Grafer!$C$1062:$D$1062</c:f>
              <c:strCache>
                <c:ptCount val="2"/>
                <c:pt idx="0">
                  <c:v>Produktion</c:v>
                </c:pt>
                <c:pt idx="1">
                  <c:v>Forbrug</c:v>
                </c:pt>
              </c:strCache>
            </c:strRef>
          </c:cat>
          <c:val>
            <c:numRef>
              <c:f>Grafer!$C$1071:$D$1071</c:f>
              <c:numCache>
                <c:formatCode>#,##0</c:formatCode>
                <c:ptCount val="2"/>
                <c:pt idx="0">
                  <c:v>0</c:v>
                </c:pt>
              </c:numCache>
            </c:numRef>
          </c:val>
          <c:extLst xmlns:c16r2="http://schemas.microsoft.com/office/drawing/2015/06/chart">
            <c:ext xmlns:c16="http://schemas.microsoft.com/office/drawing/2014/chart" uri="{C3380CC4-5D6E-409C-BE32-E72D297353CC}">
              <c16:uniqueId val="{00000008-BB1A-4FE7-9554-033A4362B87A}"/>
            </c:ext>
          </c:extLst>
        </c:ser>
        <c:ser>
          <c:idx val="7"/>
          <c:order val="9"/>
          <c:tx>
            <c:strRef>
              <c:f>Grafer!$B$1072</c:f>
              <c:strCache>
                <c:ptCount val="1"/>
                <c:pt idx="0">
                  <c:v>Affald, bionedbrydeligt</c:v>
                </c:pt>
              </c:strCache>
            </c:strRef>
          </c:tx>
          <c:invertIfNegative val="0"/>
          <c:cat>
            <c:strRef>
              <c:f>Grafer!$C$1062:$D$1062</c:f>
              <c:strCache>
                <c:ptCount val="2"/>
                <c:pt idx="0">
                  <c:v>Produktion</c:v>
                </c:pt>
                <c:pt idx="1">
                  <c:v>Forbrug</c:v>
                </c:pt>
              </c:strCache>
            </c:strRef>
          </c:cat>
          <c:val>
            <c:numRef>
              <c:f>Grafer!$C$1072:$D$1072</c:f>
              <c:numCache>
                <c:formatCode>#,##0</c:formatCode>
                <c:ptCount val="2"/>
                <c:pt idx="0">
                  <c:v>0</c:v>
                </c:pt>
              </c:numCache>
            </c:numRef>
          </c:val>
          <c:extLst xmlns:c16r2="http://schemas.microsoft.com/office/drawing/2015/06/chart">
            <c:ext xmlns:c16="http://schemas.microsoft.com/office/drawing/2014/chart" uri="{C3380CC4-5D6E-409C-BE32-E72D297353CC}">
              <c16:uniqueId val="{00000009-BB1A-4FE7-9554-033A4362B87A}"/>
            </c:ext>
          </c:extLst>
        </c:ser>
        <c:ser>
          <c:idx val="8"/>
          <c:order val="10"/>
          <c:tx>
            <c:strRef>
              <c:f>Grafer!$B$1073</c:f>
              <c:strCache>
                <c:ptCount val="1"/>
                <c:pt idx="0">
                  <c:v>Biomasse</c:v>
                </c:pt>
              </c:strCache>
            </c:strRef>
          </c:tx>
          <c:invertIfNegative val="0"/>
          <c:cat>
            <c:strRef>
              <c:f>Grafer!$C$1062:$D$1062</c:f>
              <c:strCache>
                <c:ptCount val="2"/>
                <c:pt idx="0">
                  <c:v>Produktion</c:v>
                </c:pt>
                <c:pt idx="1">
                  <c:v>Forbrug</c:v>
                </c:pt>
              </c:strCache>
            </c:strRef>
          </c:cat>
          <c:val>
            <c:numRef>
              <c:f>Grafer!$C$1073:$D$1073</c:f>
              <c:numCache>
                <c:formatCode>#,##0</c:formatCode>
                <c:ptCount val="2"/>
                <c:pt idx="0">
                  <c:v>488.45160000000004</c:v>
                </c:pt>
              </c:numCache>
            </c:numRef>
          </c:val>
          <c:extLst xmlns:c16r2="http://schemas.microsoft.com/office/drawing/2015/06/chart">
            <c:ext xmlns:c16="http://schemas.microsoft.com/office/drawing/2014/chart" uri="{C3380CC4-5D6E-409C-BE32-E72D297353CC}">
              <c16:uniqueId val="{0000000A-BB1A-4FE7-9554-033A4362B87A}"/>
            </c:ext>
          </c:extLst>
        </c:ser>
        <c:ser>
          <c:idx val="9"/>
          <c:order val="11"/>
          <c:tx>
            <c:strRef>
              <c:f>Grafer!$B$1074</c:f>
              <c:strCache>
                <c:ptCount val="1"/>
                <c:pt idx="0">
                  <c:v>Vindenergi</c:v>
                </c:pt>
              </c:strCache>
            </c:strRef>
          </c:tx>
          <c:invertIfNegative val="0"/>
          <c:cat>
            <c:strRef>
              <c:f>Grafer!$C$1062:$D$1062</c:f>
              <c:strCache>
                <c:ptCount val="2"/>
                <c:pt idx="0">
                  <c:v>Produktion</c:v>
                </c:pt>
                <c:pt idx="1">
                  <c:v>Forbrug</c:v>
                </c:pt>
              </c:strCache>
            </c:strRef>
          </c:cat>
          <c:val>
            <c:numRef>
              <c:f>Grafer!$C$1074:$D$1074</c:f>
              <c:numCache>
                <c:formatCode>#,##0</c:formatCode>
                <c:ptCount val="2"/>
                <c:pt idx="0">
                  <c:v>1209.5999999999999</c:v>
                </c:pt>
              </c:numCache>
            </c:numRef>
          </c:val>
          <c:extLst xmlns:c16r2="http://schemas.microsoft.com/office/drawing/2015/06/chart">
            <c:ext xmlns:c16="http://schemas.microsoft.com/office/drawing/2014/chart" uri="{C3380CC4-5D6E-409C-BE32-E72D297353CC}">
              <c16:uniqueId val="{0000000B-BB1A-4FE7-9554-033A4362B87A}"/>
            </c:ext>
          </c:extLst>
        </c:ser>
        <c:ser>
          <c:idx val="10"/>
          <c:order val="12"/>
          <c:tx>
            <c:strRef>
              <c:f>Grafer!$B$1075</c:f>
              <c:strCache>
                <c:ptCount val="1"/>
                <c:pt idx="0">
                  <c:v>Biogas</c:v>
                </c:pt>
              </c:strCache>
            </c:strRef>
          </c:tx>
          <c:invertIfNegative val="0"/>
          <c:cat>
            <c:strRef>
              <c:f>Grafer!$C$1062:$D$1062</c:f>
              <c:strCache>
                <c:ptCount val="2"/>
                <c:pt idx="0">
                  <c:v>Produktion</c:v>
                </c:pt>
                <c:pt idx="1">
                  <c:v>Forbrug</c:v>
                </c:pt>
              </c:strCache>
            </c:strRef>
          </c:cat>
          <c:val>
            <c:numRef>
              <c:f>Grafer!$C$1075:$D$1075</c:f>
              <c:numCache>
                <c:formatCode>#,##0</c:formatCode>
                <c:ptCount val="2"/>
                <c:pt idx="0">
                  <c:v>8.2578999999999994</c:v>
                </c:pt>
              </c:numCache>
            </c:numRef>
          </c:val>
          <c:extLst xmlns:c16r2="http://schemas.microsoft.com/office/drawing/2015/06/chart">
            <c:ext xmlns:c16="http://schemas.microsoft.com/office/drawing/2014/chart" uri="{C3380CC4-5D6E-409C-BE32-E72D297353CC}">
              <c16:uniqueId val="{0000000C-BB1A-4FE7-9554-033A4362B87A}"/>
            </c:ext>
          </c:extLst>
        </c:ser>
        <c:ser>
          <c:idx val="11"/>
          <c:order val="13"/>
          <c:tx>
            <c:strRef>
              <c:f>Grafer!$B$1076</c:f>
              <c:strCache>
                <c:ptCount val="1"/>
                <c:pt idx="0">
                  <c:v>Solenergi</c:v>
                </c:pt>
              </c:strCache>
            </c:strRef>
          </c:tx>
          <c:invertIfNegative val="0"/>
          <c:cat>
            <c:strRef>
              <c:f>Grafer!$C$1062:$D$1062</c:f>
              <c:strCache>
                <c:ptCount val="2"/>
                <c:pt idx="0">
                  <c:v>Produktion</c:v>
                </c:pt>
                <c:pt idx="1">
                  <c:v>Forbrug</c:v>
                </c:pt>
              </c:strCache>
            </c:strRef>
          </c:cat>
          <c:val>
            <c:numRef>
              <c:f>Grafer!$C$1076:$D$1076</c:f>
              <c:numCache>
                <c:formatCode>#,##0</c:formatCode>
                <c:ptCount val="2"/>
                <c:pt idx="0">
                  <c:v>42</c:v>
                </c:pt>
              </c:numCache>
            </c:numRef>
          </c:val>
          <c:extLst xmlns:c16r2="http://schemas.microsoft.com/office/drawing/2015/06/chart">
            <c:ext xmlns:c16="http://schemas.microsoft.com/office/drawing/2014/chart" uri="{C3380CC4-5D6E-409C-BE32-E72D297353CC}">
              <c16:uniqueId val="{0000000D-BB1A-4FE7-9554-033A4362B87A}"/>
            </c:ext>
          </c:extLst>
        </c:ser>
        <c:ser>
          <c:idx val="12"/>
          <c:order val="14"/>
          <c:tx>
            <c:strRef>
              <c:f>Grafer!$B$1077</c:f>
              <c:strCache>
                <c:ptCount val="1"/>
                <c:pt idx="0">
                  <c:v>Vandenergi mv.</c:v>
                </c:pt>
              </c:strCache>
            </c:strRef>
          </c:tx>
          <c:invertIfNegative val="0"/>
          <c:cat>
            <c:strRef>
              <c:f>Grafer!$C$1062:$D$1062</c:f>
              <c:strCache>
                <c:ptCount val="2"/>
                <c:pt idx="0">
                  <c:v>Produktion</c:v>
                </c:pt>
                <c:pt idx="1">
                  <c:v>Forbrug</c:v>
                </c:pt>
              </c:strCache>
            </c:strRef>
          </c:cat>
          <c:val>
            <c:numRef>
              <c:f>Grafer!$C$1077:$D$1077</c:f>
              <c:numCache>
                <c:formatCode>#,##0</c:formatCode>
                <c:ptCount val="2"/>
                <c:pt idx="0">
                  <c:v>0</c:v>
                </c:pt>
              </c:numCache>
            </c:numRef>
          </c:val>
          <c:extLst xmlns:c16r2="http://schemas.microsoft.com/office/drawing/2015/06/chart">
            <c:ext xmlns:c16="http://schemas.microsoft.com/office/drawing/2014/chart" uri="{C3380CC4-5D6E-409C-BE32-E72D297353CC}">
              <c16:uniqueId val="{0000000E-BB1A-4FE7-9554-033A4362B87A}"/>
            </c:ext>
          </c:extLst>
        </c:ser>
        <c:ser>
          <c:idx val="0"/>
          <c:order val="15"/>
          <c:tx>
            <c:strRef>
              <c:f>Grafer!$B$1078</c:f>
              <c:strCache>
                <c:ptCount val="1"/>
                <c:pt idx="0">
                  <c:v>Elimport</c:v>
                </c:pt>
              </c:strCache>
            </c:strRef>
          </c:tx>
          <c:invertIfNegative val="0"/>
          <c:cat>
            <c:strRef>
              <c:f>Grafer!$C$1062:$D$1062</c:f>
              <c:strCache>
                <c:ptCount val="2"/>
                <c:pt idx="0">
                  <c:v>Produktion</c:v>
                </c:pt>
                <c:pt idx="1">
                  <c:v>Forbrug</c:v>
                </c:pt>
              </c:strCache>
            </c:strRef>
          </c:cat>
          <c:val>
            <c:numRef>
              <c:f>Grafer!$C$1078:$D$1078</c:f>
              <c:numCache>
                <c:formatCode>#,##0</c:formatCode>
                <c:ptCount val="2"/>
                <c:pt idx="0">
                  <c:v>-130.94872402022855</c:v>
                </c:pt>
              </c:numCache>
            </c:numRef>
          </c:val>
          <c:extLst xmlns:c16r2="http://schemas.microsoft.com/office/drawing/2015/06/chart">
            <c:ext xmlns:c16="http://schemas.microsoft.com/office/drawing/2014/chart" uri="{C3380CC4-5D6E-409C-BE32-E72D297353CC}">
              <c16:uniqueId val="{0000000F-BB1A-4FE7-9554-033A4362B87A}"/>
            </c:ext>
          </c:extLst>
        </c:ser>
        <c:dLbls>
          <c:showLegendKey val="0"/>
          <c:showVal val="0"/>
          <c:showCatName val="0"/>
          <c:showSerName val="0"/>
          <c:showPercent val="0"/>
          <c:showBubbleSize val="0"/>
        </c:dLbls>
        <c:gapWidth val="150"/>
        <c:overlap val="100"/>
        <c:axId val="315576304"/>
        <c:axId val="315576696"/>
      </c:barChart>
      <c:catAx>
        <c:axId val="3155763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76696"/>
        <c:crosses val="autoZero"/>
        <c:auto val="1"/>
        <c:lblAlgn val="ctr"/>
        <c:lblOffset val="100"/>
        <c:noMultiLvlLbl val="0"/>
      </c:catAx>
      <c:valAx>
        <c:axId val="31557669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7630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88" l="0.70000000000000062" r="0.70000000000000062" t="0.7500000000000118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61461222222222223"/>
          <c:h val="0.86678863636364234"/>
        </c:manualLayout>
      </c:layout>
      <c:barChart>
        <c:barDir val="col"/>
        <c:grouping val="stacked"/>
        <c:varyColors val="0"/>
        <c:ser>
          <c:idx val="0"/>
          <c:order val="0"/>
          <c:tx>
            <c:strRef>
              <c:f>Grafer!$B$1117</c:f>
              <c:strCache>
                <c:ptCount val="1"/>
                <c:pt idx="0">
                  <c:v>Forbrug</c:v>
                </c:pt>
              </c:strCache>
            </c:strRef>
          </c:tx>
          <c:invertIfNegative val="0"/>
          <c:cat>
            <c:strRef>
              <c:f>Grafer!$C$1116:$D$1116</c:f>
              <c:strCache>
                <c:ptCount val="2"/>
                <c:pt idx="0">
                  <c:v>Produktion</c:v>
                </c:pt>
                <c:pt idx="1">
                  <c:v>Forbrug</c:v>
                </c:pt>
              </c:strCache>
            </c:strRef>
          </c:cat>
          <c:val>
            <c:numRef>
              <c:f>Grafer!$C$1117:$D$1117</c:f>
              <c:numCache>
                <c:formatCode>#,##0</c:formatCode>
                <c:ptCount val="2"/>
                <c:pt idx="1">
                  <c:v>0</c:v>
                </c:pt>
              </c:numCache>
            </c:numRef>
          </c:val>
          <c:extLst xmlns:c16r2="http://schemas.microsoft.com/office/drawing/2015/06/chart">
            <c:ext xmlns:c16="http://schemas.microsoft.com/office/drawing/2014/chart" uri="{C3380CC4-5D6E-409C-BE32-E72D297353CC}">
              <c16:uniqueId val="{00000000-50B7-4834-A8AE-A486AC6B8A00}"/>
            </c:ext>
          </c:extLst>
        </c:ser>
        <c:ser>
          <c:idx val="8"/>
          <c:order val="1"/>
          <c:tx>
            <c:strRef>
              <c:f>Grafer!$B$1118</c:f>
              <c:strCache>
                <c:ptCount val="1"/>
                <c:pt idx="0">
                  <c:v>Nettab</c:v>
                </c:pt>
              </c:strCache>
            </c:strRef>
          </c:tx>
          <c:spPr>
            <a:solidFill>
              <a:schemeClr val="accent5">
                <a:lumMod val="40000"/>
                <a:lumOff val="60000"/>
              </a:schemeClr>
            </a:solidFill>
          </c:spPr>
          <c:invertIfNegative val="0"/>
          <c:cat>
            <c:strRef>
              <c:f>Grafer!$C$1116:$D$1116</c:f>
              <c:strCache>
                <c:ptCount val="2"/>
                <c:pt idx="0">
                  <c:v>Produktion</c:v>
                </c:pt>
                <c:pt idx="1">
                  <c:v>Forbrug</c:v>
                </c:pt>
              </c:strCache>
            </c:strRef>
          </c:cat>
          <c:val>
            <c:numRef>
              <c:f>Grafer!$C$1118:$D$1118</c:f>
              <c:numCache>
                <c:formatCode>#,##0</c:formatCode>
                <c:ptCount val="2"/>
                <c:pt idx="1">
                  <c:v>0</c:v>
                </c:pt>
              </c:numCache>
            </c:numRef>
          </c:val>
          <c:extLst xmlns:c16r2="http://schemas.microsoft.com/office/drawing/2015/06/chart">
            <c:ext xmlns:c16="http://schemas.microsoft.com/office/drawing/2014/chart" uri="{C3380CC4-5D6E-409C-BE32-E72D297353CC}">
              <c16:uniqueId val="{00000001-50B7-4834-A8AE-A486AC6B8A00}"/>
            </c:ext>
          </c:extLst>
        </c:ser>
        <c:ser>
          <c:idx val="3"/>
          <c:order val="2"/>
          <c:tx>
            <c:strRef>
              <c:f>Grafer!$B$1119</c:f>
              <c:strCache>
                <c:ptCount val="1"/>
                <c:pt idx="0">
                  <c:v>Egetforbrug af varme, industri</c:v>
                </c:pt>
              </c:strCache>
            </c:strRef>
          </c:tx>
          <c:invertIfNegative val="0"/>
          <c:cat>
            <c:strRef>
              <c:f>Grafer!$C$1116:$D$1116</c:f>
              <c:strCache>
                <c:ptCount val="2"/>
                <c:pt idx="0">
                  <c:v>Produktion</c:v>
                </c:pt>
                <c:pt idx="1">
                  <c:v>Forbrug</c:v>
                </c:pt>
              </c:strCache>
            </c:strRef>
          </c:cat>
          <c:val>
            <c:numRef>
              <c:f>Grafer!$C$1119:$D$1119</c:f>
              <c:numCache>
                <c:formatCode>#,##0</c:formatCode>
                <c:ptCount val="2"/>
                <c:pt idx="1">
                  <c:v>0</c:v>
                </c:pt>
              </c:numCache>
            </c:numRef>
          </c:val>
          <c:extLst xmlns:c16r2="http://schemas.microsoft.com/office/drawing/2015/06/chart">
            <c:ext xmlns:c16="http://schemas.microsoft.com/office/drawing/2014/chart" uri="{C3380CC4-5D6E-409C-BE32-E72D297353CC}">
              <c16:uniqueId val="{00000002-50B7-4834-A8AE-A486AC6B8A00}"/>
            </c:ext>
          </c:extLst>
        </c:ser>
        <c:ser>
          <c:idx val="2"/>
          <c:order val="3"/>
          <c:tx>
            <c:strRef>
              <c:f>Grafer!$B$1120</c:f>
              <c:strCache>
                <c:ptCount val="1"/>
              </c:strCache>
            </c:strRef>
          </c:tx>
          <c:spPr>
            <a:solidFill>
              <a:schemeClr val="bg1"/>
            </a:solidFill>
          </c:spPr>
          <c:invertIfNegative val="0"/>
          <c:cat>
            <c:strRef>
              <c:f>Grafer!$C$1116:$D$1116</c:f>
              <c:strCache>
                <c:ptCount val="2"/>
                <c:pt idx="0">
                  <c:v>Produktion</c:v>
                </c:pt>
                <c:pt idx="1">
                  <c:v>Forbrug</c:v>
                </c:pt>
              </c:strCache>
            </c:strRef>
          </c:cat>
          <c:val>
            <c:numRef>
              <c:f>Grafer!$C$1120:$D$1120</c:f>
              <c:numCache>
                <c:formatCode>#,##0</c:formatCode>
                <c:ptCount val="2"/>
              </c:numCache>
            </c:numRef>
          </c:val>
          <c:extLst xmlns:c16r2="http://schemas.microsoft.com/office/drawing/2015/06/chart">
            <c:ext xmlns:c16="http://schemas.microsoft.com/office/drawing/2014/chart" uri="{C3380CC4-5D6E-409C-BE32-E72D297353CC}">
              <c16:uniqueId val="{00000003-50B7-4834-A8AE-A486AC6B8A00}"/>
            </c:ext>
          </c:extLst>
        </c:ser>
        <c:ser>
          <c:idx val="1"/>
          <c:order val="4"/>
          <c:tx>
            <c:strRef>
              <c:f>Grafer!$B$1121</c:f>
              <c:strCache>
                <c:ptCount val="1"/>
                <c:pt idx="0">
                  <c:v>Kraftvarme</c:v>
                </c:pt>
              </c:strCache>
            </c:strRef>
          </c:tx>
          <c:invertIfNegative val="0"/>
          <c:cat>
            <c:strRef>
              <c:f>Grafer!$C$1116:$D$1116</c:f>
              <c:strCache>
                <c:ptCount val="2"/>
                <c:pt idx="0">
                  <c:v>Produktion</c:v>
                </c:pt>
                <c:pt idx="1">
                  <c:v>Forbrug</c:v>
                </c:pt>
              </c:strCache>
            </c:strRef>
          </c:cat>
          <c:val>
            <c:numRef>
              <c:f>Grafer!$C$1121:$D$1121</c:f>
              <c:numCache>
                <c:formatCode>#,##0</c:formatCode>
                <c:ptCount val="2"/>
                <c:pt idx="0">
                  <c:v>0</c:v>
                </c:pt>
              </c:numCache>
            </c:numRef>
          </c:val>
          <c:extLst xmlns:c16r2="http://schemas.microsoft.com/office/drawing/2015/06/chart">
            <c:ext xmlns:c16="http://schemas.microsoft.com/office/drawing/2014/chart" uri="{C3380CC4-5D6E-409C-BE32-E72D297353CC}">
              <c16:uniqueId val="{00000004-50B7-4834-A8AE-A486AC6B8A00}"/>
            </c:ext>
          </c:extLst>
        </c:ser>
        <c:ser>
          <c:idx val="4"/>
          <c:order val="5"/>
          <c:tx>
            <c:strRef>
              <c:f>Grafer!$B$1122</c:f>
              <c:strCache>
                <c:ptCount val="1"/>
                <c:pt idx="0">
                  <c:v>Kedel</c:v>
                </c:pt>
              </c:strCache>
            </c:strRef>
          </c:tx>
          <c:invertIfNegative val="0"/>
          <c:cat>
            <c:strRef>
              <c:f>Grafer!$C$1116:$D$1116</c:f>
              <c:strCache>
                <c:ptCount val="2"/>
                <c:pt idx="0">
                  <c:v>Produktion</c:v>
                </c:pt>
                <c:pt idx="1">
                  <c:v>Forbrug</c:v>
                </c:pt>
              </c:strCache>
            </c:strRef>
          </c:cat>
          <c:val>
            <c:numRef>
              <c:f>Grafer!$C$1122:$D$1122</c:f>
              <c:numCache>
                <c:formatCode>#,##0</c:formatCode>
                <c:ptCount val="2"/>
                <c:pt idx="0">
                  <c:v>0</c:v>
                </c:pt>
              </c:numCache>
            </c:numRef>
          </c:val>
          <c:extLst xmlns:c16r2="http://schemas.microsoft.com/office/drawing/2015/06/chart">
            <c:ext xmlns:c16="http://schemas.microsoft.com/office/drawing/2014/chart" uri="{C3380CC4-5D6E-409C-BE32-E72D297353CC}">
              <c16:uniqueId val="{00000005-50B7-4834-A8AE-A486AC6B8A00}"/>
            </c:ext>
          </c:extLst>
        </c:ser>
        <c:ser>
          <c:idx val="6"/>
          <c:order val="6"/>
          <c:tx>
            <c:strRef>
              <c:f>Grafer!$B$1123</c:f>
              <c:strCache>
                <c:ptCount val="1"/>
                <c:pt idx="0">
                  <c:v>Varmepumper og elpatroner</c:v>
                </c:pt>
              </c:strCache>
            </c:strRef>
          </c:tx>
          <c:invertIfNegative val="0"/>
          <c:cat>
            <c:strRef>
              <c:f>Grafer!$C$1116:$D$1116</c:f>
              <c:strCache>
                <c:ptCount val="2"/>
                <c:pt idx="0">
                  <c:v>Produktion</c:v>
                </c:pt>
                <c:pt idx="1">
                  <c:v>Forbrug</c:v>
                </c:pt>
              </c:strCache>
            </c:strRef>
          </c:cat>
          <c:val>
            <c:numRef>
              <c:f>Grafer!$C$1123:$D$1123</c:f>
              <c:numCache>
                <c:formatCode>#,##0</c:formatCode>
                <c:ptCount val="2"/>
                <c:pt idx="0">
                  <c:v>0</c:v>
                </c:pt>
              </c:numCache>
            </c:numRef>
          </c:val>
          <c:extLst xmlns:c16r2="http://schemas.microsoft.com/office/drawing/2015/06/chart">
            <c:ext xmlns:c16="http://schemas.microsoft.com/office/drawing/2014/chart" uri="{C3380CC4-5D6E-409C-BE32-E72D297353CC}">
              <c16:uniqueId val="{00000006-50B7-4834-A8AE-A486AC6B8A00}"/>
            </c:ext>
          </c:extLst>
        </c:ser>
        <c:ser>
          <c:idx val="7"/>
          <c:order val="7"/>
          <c:tx>
            <c:strRef>
              <c:f>Grafer!$B$1124</c:f>
              <c:strCache>
                <c:ptCount val="1"/>
                <c:pt idx="0">
                  <c:v>Solvarme</c:v>
                </c:pt>
              </c:strCache>
            </c:strRef>
          </c:tx>
          <c:spPr>
            <a:solidFill>
              <a:srgbClr val="FFC000"/>
            </a:solidFill>
          </c:spPr>
          <c:invertIfNegative val="0"/>
          <c:cat>
            <c:strRef>
              <c:f>Grafer!$C$1116:$D$1116</c:f>
              <c:strCache>
                <c:ptCount val="2"/>
                <c:pt idx="0">
                  <c:v>Produktion</c:v>
                </c:pt>
                <c:pt idx="1">
                  <c:v>Forbrug</c:v>
                </c:pt>
              </c:strCache>
            </c:strRef>
          </c:cat>
          <c:val>
            <c:numRef>
              <c:f>Grafer!$C$1124:$D$1124</c:f>
              <c:numCache>
                <c:formatCode>#,##0</c:formatCode>
                <c:ptCount val="2"/>
                <c:pt idx="0">
                  <c:v>0</c:v>
                </c:pt>
              </c:numCache>
            </c:numRef>
          </c:val>
          <c:extLst xmlns:c16r2="http://schemas.microsoft.com/office/drawing/2015/06/chart">
            <c:ext xmlns:c16="http://schemas.microsoft.com/office/drawing/2014/chart" uri="{C3380CC4-5D6E-409C-BE32-E72D297353CC}">
              <c16:uniqueId val="{00000007-50B7-4834-A8AE-A486AC6B8A00}"/>
            </c:ext>
          </c:extLst>
        </c:ser>
        <c:ser>
          <c:idx val="9"/>
          <c:order val="8"/>
          <c:tx>
            <c:strRef>
              <c:f>Grafer!$B$1125</c:f>
              <c:strCache>
                <c:ptCount val="1"/>
                <c:pt idx="0">
                  <c:v>Geotermi</c:v>
                </c:pt>
              </c:strCache>
            </c:strRef>
          </c:tx>
          <c:spPr>
            <a:solidFill>
              <a:schemeClr val="bg2">
                <a:lumMod val="50000"/>
              </a:schemeClr>
            </a:solidFill>
          </c:spPr>
          <c:invertIfNegative val="0"/>
          <c:cat>
            <c:strRef>
              <c:f>Grafer!$C$1116:$D$1116</c:f>
              <c:strCache>
                <c:ptCount val="2"/>
                <c:pt idx="0">
                  <c:v>Produktion</c:v>
                </c:pt>
                <c:pt idx="1">
                  <c:v>Forbrug</c:v>
                </c:pt>
              </c:strCache>
            </c:strRef>
          </c:cat>
          <c:val>
            <c:numRef>
              <c:f>Grafer!$C$1125:$D$1125</c:f>
              <c:numCache>
                <c:formatCode>#,##0</c:formatCode>
                <c:ptCount val="2"/>
                <c:pt idx="0">
                  <c:v>0</c:v>
                </c:pt>
              </c:numCache>
            </c:numRef>
          </c:val>
          <c:extLst xmlns:c16r2="http://schemas.microsoft.com/office/drawing/2015/06/chart">
            <c:ext xmlns:c16="http://schemas.microsoft.com/office/drawing/2014/chart" uri="{C3380CC4-5D6E-409C-BE32-E72D297353CC}">
              <c16:uniqueId val="{00000008-50B7-4834-A8AE-A486AC6B8A00}"/>
            </c:ext>
          </c:extLst>
        </c:ser>
        <c:ser>
          <c:idx val="5"/>
          <c:order val="9"/>
          <c:tx>
            <c:strRef>
              <c:f>Grafer!$B$1126</c:f>
              <c:strCache>
                <c:ptCount val="1"/>
                <c:pt idx="0">
                  <c:v>Overskudsvarme</c:v>
                </c:pt>
              </c:strCache>
            </c:strRef>
          </c:tx>
          <c:invertIfNegative val="0"/>
          <c:cat>
            <c:strRef>
              <c:f>Grafer!$C$1116:$D$1116</c:f>
              <c:strCache>
                <c:ptCount val="2"/>
                <c:pt idx="0">
                  <c:v>Produktion</c:v>
                </c:pt>
                <c:pt idx="1">
                  <c:v>Forbrug</c:v>
                </c:pt>
              </c:strCache>
            </c:strRef>
          </c:cat>
          <c:val>
            <c:numRef>
              <c:f>Grafer!$C$1126:$D$1126</c:f>
              <c:numCache>
                <c:formatCode>#,##0</c:formatCode>
                <c:ptCount val="2"/>
                <c:pt idx="0">
                  <c:v>0</c:v>
                </c:pt>
              </c:numCache>
            </c:numRef>
          </c:val>
          <c:extLst xmlns:c16r2="http://schemas.microsoft.com/office/drawing/2015/06/chart">
            <c:ext xmlns:c16="http://schemas.microsoft.com/office/drawing/2014/chart" uri="{C3380CC4-5D6E-409C-BE32-E72D297353CC}">
              <c16:uniqueId val="{00000009-50B7-4834-A8AE-A486AC6B8A00}"/>
            </c:ext>
          </c:extLst>
        </c:ser>
        <c:ser>
          <c:idx val="10"/>
          <c:order val="10"/>
          <c:tx>
            <c:strRef>
              <c:f>Grafer!$B$1127</c:f>
              <c:strCache>
                <c:ptCount val="1"/>
                <c:pt idx="0">
                  <c:v>Import fjernvarme</c:v>
                </c:pt>
              </c:strCache>
            </c:strRef>
          </c:tx>
          <c:spPr>
            <a:solidFill>
              <a:schemeClr val="accent6">
                <a:lumMod val="60000"/>
                <a:lumOff val="40000"/>
              </a:schemeClr>
            </a:solidFill>
          </c:spPr>
          <c:invertIfNegative val="0"/>
          <c:cat>
            <c:strRef>
              <c:f>Grafer!$C$1116:$D$1116</c:f>
              <c:strCache>
                <c:ptCount val="2"/>
                <c:pt idx="0">
                  <c:v>Produktion</c:v>
                </c:pt>
                <c:pt idx="1">
                  <c:v>Forbrug</c:v>
                </c:pt>
              </c:strCache>
            </c:strRef>
          </c:cat>
          <c:val>
            <c:numRef>
              <c:f>Grafer!$C$1127:$D$1127</c:f>
              <c:numCache>
                <c:formatCode>#,##0</c:formatCode>
                <c:ptCount val="2"/>
                <c:pt idx="0">
                  <c:v>0</c:v>
                </c:pt>
              </c:numCache>
            </c:numRef>
          </c:val>
          <c:extLst xmlns:c16r2="http://schemas.microsoft.com/office/drawing/2015/06/chart">
            <c:ext xmlns:c16="http://schemas.microsoft.com/office/drawing/2014/chart" uri="{C3380CC4-5D6E-409C-BE32-E72D297353CC}">
              <c16:uniqueId val="{0000000A-50B7-4834-A8AE-A486AC6B8A00}"/>
            </c:ext>
          </c:extLst>
        </c:ser>
        <c:dLbls>
          <c:showLegendKey val="0"/>
          <c:showVal val="0"/>
          <c:showCatName val="0"/>
          <c:showSerName val="0"/>
          <c:showPercent val="0"/>
          <c:showBubbleSize val="0"/>
        </c:dLbls>
        <c:gapWidth val="150"/>
        <c:overlap val="100"/>
        <c:axId val="315578264"/>
        <c:axId val="315575128"/>
      </c:barChart>
      <c:catAx>
        <c:axId val="3155782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75128"/>
        <c:crosses val="autoZero"/>
        <c:auto val="1"/>
        <c:lblAlgn val="ctr"/>
        <c:lblOffset val="100"/>
        <c:noMultiLvlLbl val="0"/>
      </c:catAx>
      <c:valAx>
        <c:axId val="31557512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557826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1229311507515"/>
          <c:y val="3.465346534653465E-2"/>
          <c:w val="0.61599445470912195"/>
          <c:h val="0.8773743078556806"/>
        </c:manualLayout>
      </c:layout>
      <c:barChart>
        <c:barDir val="col"/>
        <c:grouping val="stacked"/>
        <c:varyColors val="0"/>
        <c:ser>
          <c:idx val="0"/>
          <c:order val="0"/>
          <c:tx>
            <c:strRef>
              <c:f>Grafer!$B$305</c:f>
              <c:strCache>
                <c:ptCount val="1"/>
                <c:pt idx="0">
                  <c:v>Individuel opvarmning</c:v>
                </c:pt>
              </c:strCache>
            </c:strRef>
          </c:tx>
          <c:invertIfNegative val="0"/>
          <c:cat>
            <c:strRef>
              <c:f>Grafer!$C$304:$E$304</c:f>
              <c:strCache>
                <c:ptCount val="3"/>
                <c:pt idx="0">
                  <c:v>2018</c:v>
                </c:pt>
                <c:pt idx="1">
                  <c:v>BAU2030</c:v>
                </c:pt>
                <c:pt idx="2">
                  <c:v>BAU2050</c:v>
                </c:pt>
              </c:strCache>
            </c:strRef>
          </c:cat>
          <c:val>
            <c:numRef>
              <c:f>Grafer!$C$305:$E$305</c:f>
              <c:numCache>
                <c:formatCode>#,##0</c:formatCode>
                <c:ptCount val="3"/>
                <c:pt idx="0">
                  <c:v>1374.2</c:v>
                </c:pt>
                <c:pt idx="1">
                  <c:v>1242.2649333333331</c:v>
                </c:pt>
                <c:pt idx="2">
                  <c:v>1327.5899999999997</c:v>
                </c:pt>
              </c:numCache>
            </c:numRef>
          </c:val>
          <c:extLst xmlns:c16r2="http://schemas.microsoft.com/office/drawing/2015/06/chart">
            <c:ext xmlns:c16="http://schemas.microsoft.com/office/drawing/2014/chart" uri="{C3380CC4-5D6E-409C-BE32-E72D297353CC}">
              <c16:uniqueId val="{00000000-45DB-4F77-9491-816DE33B6FB3}"/>
            </c:ext>
          </c:extLst>
        </c:ser>
        <c:ser>
          <c:idx val="1"/>
          <c:order val="1"/>
          <c:tx>
            <c:strRef>
              <c:f>Grafer!$B$306</c:f>
              <c:strCache>
                <c:ptCount val="1"/>
                <c:pt idx="0">
                  <c:v>Kollektiv el- og varmeforsyning</c:v>
                </c:pt>
              </c:strCache>
            </c:strRef>
          </c:tx>
          <c:invertIfNegative val="0"/>
          <c:cat>
            <c:strRef>
              <c:f>Grafer!$C$304:$E$304</c:f>
              <c:strCache>
                <c:ptCount val="3"/>
                <c:pt idx="0">
                  <c:v>2018</c:v>
                </c:pt>
                <c:pt idx="1">
                  <c:v>BAU2030</c:v>
                </c:pt>
                <c:pt idx="2">
                  <c:v>BAU2050</c:v>
                </c:pt>
              </c:strCache>
            </c:strRef>
          </c:cat>
          <c:val>
            <c:numRef>
              <c:f>Grafer!$C$306:$E$306</c:f>
              <c:numCache>
                <c:formatCode>#,##0</c:formatCode>
                <c:ptCount val="3"/>
                <c:pt idx="0">
                  <c:v>2890.4</c:v>
                </c:pt>
                <c:pt idx="1">
                  <c:v>2708.7283200000002</c:v>
                </c:pt>
                <c:pt idx="2">
                  <c:v>2543.4737999999998</c:v>
                </c:pt>
              </c:numCache>
            </c:numRef>
          </c:val>
          <c:extLst xmlns:c16r2="http://schemas.microsoft.com/office/drawing/2015/06/chart">
            <c:ext xmlns:c16="http://schemas.microsoft.com/office/drawing/2014/chart" uri="{C3380CC4-5D6E-409C-BE32-E72D297353CC}">
              <c16:uniqueId val="{00000001-45DB-4F77-9491-816DE33B6FB3}"/>
            </c:ext>
          </c:extLst>
        </c:ser>
        <c:ser>
          <c:idx val="2"/>
          <c:order val="2"/>
          <c:tx>
            <c:strRef>
              <c:f>Grafer!$B$307</c:f>
              <c:strCache>
                <c:ptCount val="1"/>
                <c:pt idx="0">
                  <c:v>Industri</c:v>
                </c:pt>
              </c:strCache>
            </c:strRef>
          </c:tx>
          <c:invertIfNegative val="0"/>
          <c:cat>
            <c:strRef>
              <c:f>Grafer!$C$304:$E$304</c:f>
              <c:strCache>
                <c:ptCount val="3"/>
                <c:pt idx="0">
                  <c:v>2018</c:v>
                </c:pt>
                <c:pt idx="1">
                  <c:v>BAU2030</c:v>
                </c:pt>
                <c:pt idx="2">
                  <c:v>BAU2050</c:v>
                </c:pt>
              </c:strCache>
            </c:strRef>
          </c:cat>
          <c:val>
            <c:numRef>
              <c:f>Grafer!$C$307:$E$307</c:f>
              <c:numCache>
                <c:formatCode>#,##0</c:formatCode>
                <c:ptCount val="3"/>
                <c:pt idx="0">
                  <c:v>770.9</c:v>
                </c:pt>
                <c:pt idx="1">
                  <c:v>770.9</c:v>
                </c:pt>
                <c:pt idx="2">
                  <c:v>770.9</c:v>
                </c:pt>
              </c:numCache>
            </c:numRef>
          </c:val>
          <c:extLst xmlns:c16r2="http://schemas.microsoft.com/office/drawing/2015/06/chart">
            <c:ext xmlns:c16="http://schemas.microsoft.com/office/drawing/2014/chart" uri="{C3380CC4-5D6E-409C-BE32-E72D297353CC}">
              <c16:uniqueId val="{00000002-45DB-4F77-9491-816DE33B6FB3}"/>
            </c:ext>
          </c:extLst>
        </c:ser>
        <c:ser>
          <c:idx val="3"/>
          <c:order val="3"/>
          <c:tx>
            <c:strRef>
              <c:f>Grafer!$B$308</c:f>
              <c:strCache>
                <c:ptCount val="1"/>
                <c:pt idx="0">
                  <c:v>Transport</c:v>
                </c:pt>
              </c:strCache>
            </c:strRef>
          </c:tx>
          <c:invertIfNegative val="0"/>
          <c:cat>
            <c:strRef>
              <c:f>Grafer!$C$304:$E$304</c:f>
              <c:strCache>
                <c:ptCount val="3"/>
                <c:pt idx="0">
                  <c:v>2018</c:v>
                </c:pt>
                <c:pt idx="1">
                  <c:v>BAU2030</c:v>
                </c:pt>
                <c:pt idx="2">
                  <c:v>BAU2050</c:v>
                </c:pt>
              </c:strCache>
            </c:strRef>
          </c:cat>
          <c:val>
            <c:numRef>
              <c:f>Grafer!$C$308:$E$308</c:f>
              <c:numCache>
                <c:formatCode>#,##0</c:formatCode>
                <c:ptCount val="3"/>
                <c:pt idx="0">
                  <c:v>3748.8</c:v>
                </c:pt>
                <c:pt idx="1">
                  <c:v>3327.8001939999999</c:v>
                </c:pt>
                <c:pt idx="2">
                  <c:v>2188.4249999999997</c:v>
                </c:pt>
              </c:numCache>
            </c:numRef>
          </c:val>
          <c:extLst xmlns:c16r2="http://schemas.microsoft.com/office/drawing/2015/06/chart">
            <c:ext xmlns:c16="http://schemas.microsoft.com/office/drawing/2014/chart" uri="{C3380CC4-5D6E-409C-BE32-E72D297353CC}">
              <c16:uniqueId val="{00000003-45DB-4F77-9491-816DE33B6FB3}"/>
            </c:ext>
          </c:extLst>
        </c:ser>
        <c:ser>
          <c:idx val="4"/>
          <c:order val="4"/>
          <c:tx>
            <c:strRef>
              <c:f>Grafer!$B$309</c:f>
              <c:strCache>
                <c:ptCount val="1"/>
                <c:pt idx="0">
                  <c:v>Vindkraft mm.</c:v>
                </c:pt>
              </c:strCache>
            </c:strRef>
          </c:tx>
          <c:invertIfNegative val="0"/>
          <c:cat>
            <c:strRef>
              <c:f>Grafer!$C$304:$E$304</c:f>
              <c:strCache>
                <c:ptCount val="3"/>
                <c:pt idx="0">
                  <c:v>2018</c:v>
                </c:pt>
                <c:pt idx="1">
                  <c:v>BAU2030</c:v>
                </c:pt>
                <c:pt idx="2">
                  <c:v>BAU2050</c:v>
                </c:pt>
              </c:strCache>
            </c:strRef>
          </c:cat>
          <c:val>
            <c:numRef>
              <c:f>Grafer!$C$309:$E$309</c:f>
              <c:numCache>
                <c:formatCode>#,##0</c:formatCode>
                <c:ptCount val="3"/>
                <c:pt idx="0">
                  <c:v>1251.5999999999999</c:v>
                </c:pt>
                <c:pt idx="1">
                  <c:v>2390.6</c:v>
                </c:pt>
                <c:pt idx="2">
                  <c:v>2390.6</c:v>
                </c:pt>
              </c:numCache>
            </c:numRef>
          </c:val>
          <c:extLst xmlns:c16r2="http://schemas.microsoft.com/office/drawing/2015/06/chart">
            <c:ext xmlns:c16="http://schemas.microsoft.com/office/drawing/2014/chart" uri="{C3380CC4-5D6E-409C-BE32-E72D297353CC}">
              <c16:uniqueId val="{00000004-45DB-4F77-9491-816DE33B6FB3}"/>
            </c:ext>
          </c:extLst>
        </c:ser>
        <c:ser>
          <c:idx val="5"/>
          <c:order val="5"/>
          <c:tx>
            <c:strRef>
              <c:f>Grafer!$B$310</c:f>
              <c:strCache>
                <c:ptCount val="1"/>
                <c:pt idx="0">
                  <c:v>El-import</c:v>
                </c:pt>
              </c:strCache>
            </c:strRef>
          </c:tx>
          <c:invertIfNegative val="0"/>
          <c:cat>
            <c:strRef>
              <c:f>Grafer!$C$304:$E$304</c:f>
              <c:strCache>
                <c:ptCount val="3"/>
                <c:pt idx="0">
                  <c:v>2018</c:v>
                </c:pt>
                <c:pt idx="1">
                  <c:v>BAU2030</c:v>
                </c:pt>
                <c:pt idx="2">
                  <c:v>BAU2050</c:v>
                </c:pt>
              </c:strCache>
            </c:strRef>
          </c:cat>
          <c:val>
            <c:numRef>
              <c:f>Grafer!$C$310:$E$310</c:f>
              <c:numCache>
                <c:formatCode>#,##0</c:formatCode>
                <c:ptCount val="3"/>
                <c:pt idx="0">
                  <c:v>-130.94872402022855</c:v>
                </c:pt>
                <c:pt idx="1">
                  <c:v>-988.62884322060302</c:v>
                </c:pt>
                <c:pt idx="2">
                  <c:v>-474.44595351550436</c:v>
                </c:pt>
              </c:numCache>
            </c:numRef>
          </c:val>
          <c:extLst xmlns:c16r2="http://schemas.microsoft.com/office/drawing/2015/06/chart">
            <c:ext xmlns:c16="http://schemas.microsoft.com/office/drawing/2014/chart" uri="{C3380CC4-5D6E-409C-BE32-E72D297353CC}">
              <c16:uniqueId val="{00000005-45DB-4F77-9491-816DE33B6FB3}"/>
            </c:ext>
          </c:extLst>
        </c:ser>
        <c:ser>
          <c:idx val="6"/>
          <c:order val="6"/>
          <c:tx>
            <c:strRef>
              <c:f>Grafer!$B$311</c:f>
              <c:strCache>
                <c:ptCount val="1"/>
                <c:pt idx="0">
                  <c:v>I alt</c:v>
                </c:pt>
              </c:strCache>
            </c:strRef>
          </c:tx>
          <c:invertIfNegative val="0"/>
          <c:cat>
            <c:strRef>
              <c:f>Grafer!$C$304:$E$304</c:f>
              <c:strCache>
                <c:ptCount val="3"/>
                <c:pt idx="0">
                  <c:v>2018</c:v>
                </c:pt>
                <c:pt idx="1">
                  <c:v>BAU2030</c:v>
                </c:pt>
                <c:pt idx="2">
                  <c:v>BAU2050</c:v>
                </c:pt>
              </c:strCache>
            </c:strRef>
          </c:cat>
          <c:val>
            <c:numRef>
              <c:f>Grafer!$C$311:$E$311</c:f>
              <c:numCache>
                <c:formatCode>#,##0</c:formatCode>
                <c:ptCount val="3"/>
                <c:pt idx="0">
                  <c:v>9904.9512759797708</c:v>
                </c:pt>
                <c:pt idx="1">
                  <c:v>9451.6646041127296</c:v>
                </c:pt>
                <c:pt idx="2">
                  <c:v>8746.5428464844954</c:v>
                </c:pt>
              </c:numCache>
            </c:numRef>
          </c:val>
          <c:extLst xmlns:c16r2="http://schemas.microsoft.com/office/drawing/2015/06/chart">
            <c:ext xmlns:c16="http://schemas.microsoft.com/office/drawing/2014/chart" uri="{C3380CC4-5D6E-409C-BE32-E72D297353CC}">
              <c16:uniqueId val="{00000000-0B38-4ACD-A95F-176AD63ADD1B}"/>
            </c:ext>
          </c:extLst>
        </c:ser>
        <c:dLbls>
          <c:showLegendKey val="0"/>
          <c:showVal val="0"/>
          <c:showCatName val="0"/>
          <c:showSerName val="0"/>
          <c:showPercent val="0"/>
          <c:showBubbleSize val="0"/>
        </c:dLbls>
        <c:gapWidth val="150"/>
        <c:overlap val="100"/>
        <c:axId val="316632848"/>
        <c:axId val="316642256"/>
      </c:barChart>
      <c:catAx>
        <c:axId val="3166328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42256"/>
        <c:crosses val="autoZero"/>
        <c:auto val="1"/>
        <c:lblAlgn val="ctr"/>
        <c:lblOffset val="100"/>
        <c:noMultiLvlLbl val="0"/>
      </c:catAx>
      <c:valAx>
        <c:axId val="31664225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2848"/>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77" l="0.70000000000000062" r="0.70000000000000062" t="0.75000000000001177"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3957579626871"/>
          <c:y val="3.465346534653465E-2"/>
          <c:w val="0.59008484074624901"/>
          <c:h val="0.85396039603960394"/>
        </c:manualLayout>
      </c:layout>
      <c:barChart>
        <c:barDir val="col"/>
        <c:grouping val="stacked"/>
        <c:varyColors val="0"/>
        <c:ser>
          <c:idx val="6"/>
          <c:order val="0"/>
          <c:tx>
            <c:strRef>
              <c:f>Grafer!$B$1163</c:f>
              <c:strCache>
                <c:ptCount val="1"/>
                <c:pt idx="0">
                  <c:v>Forbrug</c:v>
                </c:pt>
              </c:strCache>
            </c:strRef>
          </c:tx>
          <c:invertIfNegative val="0"/>
          <c:cat>
            <c:strRef>
              <c:f>Grafer!$C$1162:$D$1162</c:f>
              <c:strCache>
                <c:ptCount val="2"/>
                <c:pt idx="0">
                  <c:v>Produktion</c:v>
                </c:pt>
                <c:pt idx="1">
                  <c:v>Forbrug</c:v>
                </c:pt>
              </c:strCache>
            </c:strRef>
          </c:cat>
          <c:val>
            <c:numRef>
              <c:f>Grafer!$C$1163:$D$1163</c:f>
              <c:numCache>
                <c:formatCode>#,##0</c:formatCode>
                <c:ptCount val="2"/>
                <c:pt idx="1">
                  <c:v>0</c:v>
                </c:pt>
              </c:numCache>
            </c:numRef>
          </c:val>
          <c:extLst xmlns:c16r2="http://schemas.microsoft.com/office/drawing/2015/06/chart">
            <c:ext xmlns:c16="http://schemas.microsoft.com/office/drawing/2014/chart" uri="{C3380CC4-5D6E-409C-BE32-E72D297353CC}">
              <c16:uniqueId val="{00000000-DDD3-41C4-811E-BC69A14CAE96}"/>
            </c:ext>
          </c:extLst>
        </c:ser>
        <c:ser>
          <c:idx val="1"/>
          <c:order val="1"/>
          <c:tx>
            <c:strRef>
              <c:f>Grafer!$B$1164</c:f>
              <c:strCache>
                <c:ptCount val="1"/>
                <c:pt idx="0">
                  <c:v>Nettab</c:v>
                </c:pt>
              </c:strCache>
            </c:strRef>
          </c:tx>
          <c:spPr>
            <a:solidFill>
              <a:schemeClr val="accent5">
                <a:lumMod val="40000"/>
                <a:lumOff val="60000"/>
              </a:schemeClr>
            </a:solidFill>
          </c:spPr>
          <c:invertIfNegative val="0"/>
          <c:cat>
            <c:strRef>
              <c:f>Grafer!$C$1162:$D$1162</c:f>
              <c:strCache>
                <c:ptCount val="2"/>
                <c:pt idx="0">
                  <c:v>Produktion</c:v>
                </c:pt>
                <c:pt idx="1">
                  <c:v>Forbrug</c:v>
                </c:pt>
              </c:strCache>
            </c:strRef>
          </c:cat>
          <c:val>
            <c:numRef>
              <c:f>Grafer!$C$1164:$D$1164</c:f>
              <c:numCache>
                <c:formatCode>#,##0</c:formatCode>
                <c:ptCount val="2"/>
                <c:pt idx="1">
                  <c:v>0</c:v>
                </c:pt>
              </c:numCache>
            </c:numRef>
          </c:val>
          <c:extLst xmlns:c16r2="http://schemas.microsoft.com/office/drawing/2015/06/chart">
            <c:ext xmlns:c16="http://schemas.microsoft.com/office/drawing/2014/chart" uri="{C3380CC4-5D6E-409C-BE32-E72D297353CC}">
              <c16:uniqueId val="{00000001-DDD3-41C4-811E-BC69A14CAE96}"/>
            </c:ext>
          </c:extLst>
        </c:ser>
        <c:ser>
          <c:idx val="3"/>
          <c:order val="2"/>
          <c:tx>
            <c:strRef>
              <c:f>Grafer!$B$1165</c:f>
              <c:strCache>
                <c:ptCount val="1"/>
                <c:pt idx="0">
                  <c:v>Egetforbrug af varme, industri</c:v>
                </c:pt>
              </c:strCache>
            </c:strRef>
          </c:tx>
          <c:invertIfNegative val="0"/>
          <c:cat>
            <c:strRef>
              <c:f>Grafer!$C$1162:$D$1162</c:f>
              <c:strCache>
                <c:ptCount val="2"/>
                <c:pt idx="0">
                  <c:v>Produktion</c:v>
                </c:pt>
                <c:pt idx="1">
                  <c:v>Forbrug</c:v>
                </c:pt>
              </c:strCache>
            </c:strRef>
          </c:cat>
          <c:val>
            <c:numRef>
              <c:f>Grafer!$C$1165:$D$1165</c:f>
              <c:numCache>
                <c:formatCode>0</c:formatCode>
                <c:ptCount val="2"/>
                <c:pt idx="1">
                  <c:v>0</c:v>
                </c:pt>
              </c:numCache>
            </c:numRef>
          </c:val>
          <c:extLst xmlns:c16r2="http://schemas.microsoft.com/office/drawing/2015/06/chart">
            <c:ext xmlns:c16="http://schemas.microsoft.com/office/drawing/2014/chart" uri="{C3380CC4-5D6E-409C-BE32-E72D297353CC}">
              <c16:uniqueId val="{00000002-DDD3-41C4-811E-BC69A14CAE96}"/>
            </c:ext>
          </c:extLst>
        </c:ser>
        <c:ser>
          <c:idx val="0"/>
          <c:order val="3"/>
          <c:tx>
            <c:strRef>
              <c:f>Grafer!$B$1166</c:f>
              <c:strCache>
                <c:ptCount val="1"/>
              </c:strCache>
            </c:strRef>
          </c:tx>
          <c:spPr>
            <a:solidFill>
              <a:schemeClr val="bg1"/>
            </a:solidFill>
          </c:spPr>
          <c:invertIfNegative val="0"/>
          <c:cat>
            <c:strRef>
              <c:f>Grafer!$C$1162:$D$1162</c:f>
              <c:strCache>
                <c:ptCount val="2"/>
                <c:pt idx="0">
                  <c:v>Produktion</c:v>
                </c:pt>
                <c:pt idx="1">
                  <c:v>Forbrug</c:v>
                </c:pt>
              </c:strCache>
            </c:strRef>
          </c:cat>
          <c:val>
            <c:numRef>
              <c:f>Grafer!$C$1166:$D$1166</c:f>
              <c:numCache>
                <c:formatCode>#,##0</c:formatCode>
                <c:ptCount val="2"/>
              </c:numCache>
            </c:numRef>
          </c:val>
          <c:extLst xmlns:c16r2="http://schemas.microsoft.com/office/drawing/2015/06/chart">
            <c:ext xmlns:c16="http://schemas.microsoft.com/office/drawing/2014/chart" uri="{C3380CC4-5D6E-409C-BE32-E72D297353CC}">
              <c16:uniqueId val="{00000003-DDD3-41C4-811E-BC69A14CAE96}"/>
            </c:ext>
          </c:extLst>
        </c:ser>
        <c:ser>
          <c:idx val="2"/>
          <c:order val="4"/>
          <c:tx>
            <c:strRef>
              <c:f>Grafer!$B$1167</c:f>
              <c:strCache>
                <c:ptCount val="1"/>
                <c:pt idx="0">
                  <c:v>Brændselsolie/diesel</c:v>
                </c:pt>
              </c:strCache>
            </c:strRef>
          </c:tx>
          <c:invertIfNegative val="0"/>
          <c:cat>
            <c:strRef>
              <c:f>Grafer!$C$1162:$D$1162</c:f>
              <c:strCache>
                <c:ptCount val="2"/>
                <c:pt idx="0">
                  <c:v>Produktion</c:v>
                </c:pt>
                <c:pt idx="1">
                  <c:v>Forbrug</c:v>
                </c:pt>
              </c:strCache>
            </c:strRef>
          </c:cat>
          <c:val>
            <c:numRef>
              <c:f>Grafer!$C$1167:$D$1167</c:f>
              <c:numCache>
                <c:formatCode>#,##0</c:formatCode>
                <c:ptCount val="2"/>
                <c:pt idx="0">
                  <c:v>0</c:v>
                </c:pt>
              </c:numCache>
            </c:numRef>
          </c:val>
          <c:extLst xmlns:c16r2="http://schemas.microsoft.com/office/drawing/2015/06/chart">
            <c:ext xmlns:c16="http://schemas.microsoft.com/office/drawing/2014/chart" uri="{C3380CC4-5D6E-409C-BE32-E72D297353CC}">
              <c16:uniqueId val="{00000004-DDD3-41C4-811E-BC69A14CAE96}"/>
            </c:ext>
          </c:extLst>
        </c:ser>
        <c:ser>
          <c:idx val="4"/>
          <c:order val="5"/>
          <c:tx>
            <c:strRef>
              <c:f>Grafer!$B$1168</c:f>
              <c:strCache>
                <c:ptCount val="1"/>
                <c:pt idx="0">
                  <c:v>Kul</c:v>
                </c:pt>
              </c:strCache>
            </c:strRef>
          </c:tx>
          <c:invertIfNegative val="0"/>
          <c:cat>
            <c:strRef>
              <c:f>Grafer!$C$1162:$D$1162</c:f>
              <c:strCache>
                <c:ptCount val="2"/>
                <c:pt idx="0">
                  <c:v>Produktion</c:v>
                </c:pt>
                <c:pt idx="1">
                  <c:v>Forbrug</c:v>
                </c:pt>
              </c:strCache>
            </c:strRef>
          </c:cat>
          <c:val>
            <c:numRef>
              <c:f>Grafer!$C$1168:$D$1168</c:f>
              <c:numCache>
                <c:formatCode>#,##0</c:formatCode>
                <c:ptCount val="2"/>
                <c:pt idx="0">
                  <c:v>0</c:v>
                </c:pt>
              </c:numCache>
            </c:numRef>
          </c:val>
          <c:extLst xmlns:c16r2="http://schemas.microsoft.com/office/drawing/2015/06/chart">
            <c:ext xmlns:c16="http://schemas.microsoft.com/office/drawing/2014/chart" uri="{C3380CC4-5D6E-409C-BE32-E72D297353CC}">
              <c16:uniqueId val="{00000005-DDD3-41C4-811E-BC69A14CAE96}"/>
            </c:ext>
          </c:extLst>
        </c:ser>
        <c:ser>
          <c:idx val="14"/>
          <c:order val="6"/>
          <c:tx>
            <c:strRef>
              <c:f>Grafer!$B$1169</c:f>
              <c:strCache>
                <c:ptCount val="1"/>
                <c:pt idx="0">
                  <c:v>Fuelolie</c:v>
                </c:pt>
              </c:strCache>
            </c:strRef>
          </c:tx>
          <c:spPr>
            <a:solidFill>
              <a:schemeClr val="accent6">
                <a:lumMod val="75000"/>
              </a:schemeClr>
            </a:solidFill>
          </c:spPr>
          <c:invertIfNegative val="0"/>
          <c:cat>
            <c:strRef>
              <c:f>Grafer!$C$1162:$D$1162</c:f>
              <c:strCache>
                <c:ptCount val="2"/>
                <c:pt idx="0">
                  <c:v>Produktion</c:v>
                </c:pt>
                <c:pt idx="1">
                  <c:v>Forbrug</c:v>
                </c:pt>
              </c:strCache>
            </c:strRef>
          </c:cat>
          <c:val>
            <c:numRef>
              <c:f>Grafer!$C$1169:$D$1169</c:f>
              <c:numCache>
                <c:formatCode>#,##0</c:formatCode>
                <c:ptCount val="2"/>
                <c:pt idx="0">
                  <c:v>0</c:v>
                </c:pt>
              </c:numCache>
            </c:numRef>
          </c:val>
          <c:extLst xmlns:c16r2="http://schemas.microsoft.com/office/drawing/2015/06/chart">
            <c:ext xmlns:c16="http://schemas.microsoft.com/office/drawing/2014/chart" uri="{C3380CC4-5D6E-409C-BE32-E72D297353CC}">
              <c16:uniqueId val="{00000006-DDD3-41C4-811E-BC69A14CAE96}"/>
            </c:ext>
          </c:extLst>
        </c:ser>
        <c:ser>
          <c:idx val="13"/>
          <c:order val="7"/>
          <c:tx>
            <c:strRef>
              <c:f>Grafer!$B$1170</c:f>
              <c:strCache>
                <c:ptCount val="1"/>
                <c:pt idx="0">
                  <c:v>Naturgas</c:v>
                </c:pt>
              </c:strCache>
            </c:strRef>
          </c:tx>
          <c:spPr>
            <a:solidFill>
              <a:schemeClr val="accent4">
                <a:lumMod val="75000"/>
              </a:schemeClr>
            </a:solidFill>
          </c:spPr>
          <c:invertIfNegative val="0"/>
          <c:cat>
            <c:strRef>
              <c:f>Grafer!$C$1162:$D$1162</c:f>
              <c:strCache>
                <c:ptCount val="2"/>
                <c:pt idx="0">
                  <c:v>Produktion</c:v>
                </c:pt>
                <c:pt idx="1">
                  <c:v>Forbrug</c:v>
                </c:pt>
              </c:strCache>
            </c:strRef>
          </c:cat>
          <c:val>
            <c:numRef>
              <c:f>Grafer!$C$1170:$D$1170</c:f>
              <c:numCache>
                <c:formatCode>#,##0</c:formatCode>
                <c:ptCount val="2"/>
                <c:pt idx="0">
                  <c:v>0</c:v>
                </c:pt>
              </c:numCache>
            </c:numRef>
          </c:val>
          <c:extLst xmlns:c16r2="http://schemas.microsoft.com/office/drawing/2015/06/chart">
            <c:ext xmlns:c16="http://schemas.microsoft.com/office/drawing/2014/chart" uri="{C3380CC4-5D6E-409C-BE32-E72D297353CC}">
              <c16:uniqueId val="{00000007-DDD3-41C4-811E-BC69A14CAE96}"/>
            </c:ext>
          </c:extLst>
        </c:ser>
        <c:ser>
          <c:idx val="7"/>
          <c:order val="8"/>
          <c:tx>
            <c:strRef>
              <c:f>Grafer!$B$1171</c:f>
              <c:strCache>
                <c:ptCount val="1"/>
                <c:pt idx="0">
                  <c:v>Affald, ikke bionedbrydeligt</c:v>
                </c:pt>
              </c:strCache>
            </c:strRef>
          </c:tx>
          <c:invertIfNegative val="0"/>
          <c:cat>
            <c:strRef>
              <c:f>Grafer!$C$1162:$D$1162</c:f>
              <c:strCache>
                <c:ptCount val="2"/>
                <c:pt idx="0">
                  <c:v>Produktion</c:v>
                </c:pt>
                <c:pt idx="1">
                  <c:v>Forbrug</c:v>
                </c:pt>
              </c:strCache>
            </c:strRef>
          </c:cat>
          <c:val>
            <c:numRef>
              <c:f>Grafer!$C$1171:$D$1171</c:f>
              <c:numCache>
                <c:formatCode>#,##0</c:formatCode>
                <c:ptCount val="2"/>
                <c:pt idx="0">
                  <c:v>0</c:v>
                </c:pt>
              </c:numCache>
            </c:numRef>
          </c:val>
          <c:extLst xmlns:c16r2="http://schemas.microsoft.com/office/drawing/2015/06/chart">
            <c:ext xmlns:c16="http://schemas.microsoft.com/office/drawing/2014/chart" uri="{C3380CC4-5D6E-409C-BE32-E72D297353CC}">
              <c16:uniqueId val="{00000008-DDD3-41C4-811E-BC69A14CAE96}"/>
            </c:ext>
          </c:extLst>
        </c:ser>
        <c:ser>
          <c:idx val="8"/>
          <c:order val="9"/>
          <c:tx>
            <c:strRef>
              <c:f>Grafer!$B$1172</c:f>
              <c:strCache>
                <c:ptCount val="1"/>
                <c:pt idx="0">
                  <c:v>Affald, bionedbrydeligt</c:v>
                </c:pt>
              </c:strCache>
            </c:strRef>
          </c:tx>
          <c:invertIfNegative val="0"/>
          <c:cat>
            <c:strRef>
              <c:f>Grafer!$C$1162:$D$1162</c:f>
              <c:strCache>
                <c:ptCount val="2"/>
                <c:pt idx="0">
                  <c:v>Produktion</c:v>
                </c:pt>
                <c:pt idx="1">
                  <c:v>Forbrug</c:v>
                </c:pt>
              </c:strCache>
            </c:strRef>
          </c:cat>
          <c:val>
            <c:numRef>
              <c:f>Grafer!$C$1172:$D$1172</c:f>
              <c:numCache>
                <c:formatCode>#,##0</c:formatCode>
                <c:ptCount val="2"/>
                <c:pt idx="0">
                  <c:v>0</c:v>
                </c:pt>
              </c:numCache>
            </c:numRef>
          </c:val>
          <c:extLst xmlns:c16r2="http://schemas.microsoft.com/office/drawing/2015/06/chart">
            <c:ext xmlns:c16="http://schemas.microsoft.com/office/drawing/2014/chart" uri="{C3380CC4-5D6E-409C-BE32-E72D297353CC}">
              <c16:uniqueId val="{00000009-DDD3-41C4-811E-BC69A14CAE96}"/>
            </c:ext>
          </c:extLst>
        </c:ser>
        <c:ser>
          <c:idx val="10"/>
          <c:order val="10"/>
          <c:tx>
            <c:strRef>
              <c:f>Grafer!$B$1173</c:f>
              <c:strCache>
                <c:ptCount val="1"/>
                <c:pt idx="0">
                  <c:v>Biomasse</c:v>
                </c:pt>
              </c:strCache>
            </c:strRef>
          </c:tx>
          <c:invertIfNegative val="0"/>
          <c:cat>
            <c:strRef>
              <c:f>Grafer!$C$1162:$D$1162</c:f>
              <c:strCache>
                <c:ptCount val="2"/>
                <c:pt idx="0">
                  <c:v>Produktion</c:v>
                </c:pt>
                <c:pt idx="1">
                  <c:v>Forbrug</c:v>
                </c:pt>
              </c:strCache>
            </c:strRef>
          </c:cat>
          <c:val>
            <c:numRef>
              <c:f>Grafer!$C$1173:$D$1173</c:f>
              <c:numCache>
                <c:formatCode>#,##0</c:formatCode>
                <c:ptCount val="2"/>
                <c:pt idx="0">
                  <c:v>0</c:v>
                </c:pt>
              </c:numCache>
            </c:numRef>
          </c:val>
          <c:extLst xmlns:c16r2="http://schemas.microsoft.com/office/drawing/2015/06/chart">
            <c:ext xmlns:c16="http://schemas.microsoft.com/office/drawing/2014/chart" uri="{C3380CC4-5D6E-409C-BE32-E72D297353CC}">
              <c16:uniqueId val="{0000000A-DDD3-41C4-811E-BC69A14CAE96}"/>
            </c:ext>
          </c:extLst>
        </c:ser>
        <c:ser>
          <c:idx val="9"/>
          <c:order val="11"/>
          <c:tx>
            <c:strRef>
              <c:f>Grafer!$B$1174</c:f>
              <c:strCache>
                <c:ptCount val="1"/>
                <c:pt idx="0">
                  <c:v>El (varmepumper, elpatroner)</c:v>
                </c:pt>
              </c:strCache>
            </c:strRef>
          </c:tx>
          <c:invertIfNegative val="0"/>
          <c:cat>
            <c:strRef>
              <c:f>Grafer!$C$1162:$D$1162</c:f>
              <c:strCache>
                <c:ptCount val="2"/>
                <c:pt idx="0">
                  <c:v>Produktion</c:v>
                </c:pt>
                <c:pt idx="1">
                  <c:v>Forbrug</c:v>
                </c:pt>
              </c:strCache>
            </c:strRef>
          </c:cat>
          <c:val>
            <c:numRef>
              <c:f>Grafer!$C$1174:$D$1174</c:f>
              <c:numCache>
                <c:formatCode>#,##0</c:formatCode>
                <c:ptCount val="2"/>
                <c:pt idx="0">
                  <c:v>0</c:v>
                </c:pt>
              </c:numCache>
            </c:numRef>
          </c:val>
          <c:extLst xmlns:c16r2="http://schemas.microsoft.com/office/drawing/2015/06/chart">
            <c:ext xmlns:c16="http://schemas.microsoft.com/office/drawing/2014/chart" uri="{C3380CC4-5D6E-409C-BE32-E72D297353CC}">
              <c16:uniqueId val="{0000000B-DDD3-41C4-811E-BC69A14CAE96}"/>
            </c:ext>
          </c:extLst>
        </c:ser>
        <c:ser>
          <c:idx val="11"/>
          <c:order val="12"/>
          <c:tx>
            <c:strRef>
              <c:f>Grafer!$B$1175</c:f>
              <c:strCache>
                <c:ptCount val="1"/>
                <c:pt idx="0">
                  <c:v>Biogas</c:v>
                </c:pt>
              </c:strCache>
            </c:strRef>
          </c:tx>
          <c:invertIfNegative val="0"/>
          <c:cat>
            <c:strRef>
              <c:f>Grafer!$C$1162:$D$1162</c:f>
              <c:strCache>
                <c:ptCount val="2"/>
                <c:pt idx="0">
                  <c:v>Produktion</c:v>
                </c:pt>
                <c:pt idx="1">
                  <c:v>Forbrug</c:v>
                </c:pt>
              </c:strCache>
            </c:strRef>
          </c:cat>
          <c:val>
            <c:numRef>
              <c:f>Grafer!$C$1175:$D$1175</c:f>
              <c:numCache>
                <c:formatCode>#,##0</c:formatCode>
                <c:ptCount val="2"/>
                <c:pt idx="0">
                  <c:v>0</c:v>
                </c:pt>
              </c:numCache>
            </c:numRef>
          </c:val>
          <c:extLst xmlns:c16r2="http://schemas.microsoft.com/office/drawing/2015/06/chart">
            <c:ext xmlns:c16="http://schemas.microsoft.com/office/drawing/2014/chart" uri="{C3380CC4-5D6E-409C-BE32-E72D297353CC}">
              <c16:uniqueId val="{0000000C-DDD3-41C4-811E-BC69A14CAE96}"/>
            </c:ext>
          </c:extLst>
        </c:ser>
        <c:ser>
          <c:idx val="12"/>
          <c:order val="13"/>
          <c:tx>
            <c:strRef>
              <c:f>Grafer!$B$1176</c:f>
              <c:strCache>
                <c:ptCount val="1"/>
                <c:pt idx="0">
                  <c:v>Solenergi</c:v>
                </c:pt>
              </c:strCache>
            </c:strRef>
          </c:tx>
          <c:invertIfNegative val="0"/>
          <c:cat>
            <c:strRef>
              <c:f>Grafer!$C$1162:$D$1162</c:f>
              <c:strCache>
                <c:ptCount val="2"/>
                <c:pt idx="0">
                  <c:v>Produktion</c:v>
                </c:pt>
                <c:pt idx="1">
                  <c:v>Forbrug</c:v>
                </c:pt>
              </c:strCache>
            </c:strRef>
          </c:cat>
          <c:val>
            <c:numRef>
              <c:f>Grafer!$C$1176:$D$1176</c:f>
              <c:numCache>
                <c:formatCode>#,##0</c:formatCode>
                <c:ptCount val="2"/>
                <c:pt idx="0">
                  <c:v>0</c:v>
                </c:pt>
              </c:numCache>
            </c:numRef>
          </c:val>
          <c:extLst xmlns:c16r2="http://schemas.microsoft.com/office/drawing/2015/06/chart">
            <c:ext xmlns:c16="http://schemas.microsoft.com/office/drawing/2014/chart" uri="{C3380CC4-5D6E-409C-BE32-E72D297353CC}">
              <c16:uniqueId val="{0000000D-DDD3-41C4-811E-BC69A14CAE96}"/>
            </c:ext>
          </c:extLst>
        </c:ser>
        <c:ser>
          <c:idx val="5"/>
          <c:order val="14"/>
          <c:tx>
            <c:strRef>
              <c:f>Grafer!$B$1177</c:f>
              <c:strCache>
                <c:ptCount val="1"/>
                <c:pt idx="0">
                  <c:v>Geotermi</c:v>
                </c:pt>
              </c:strCache>
            </c:strRef>
          </c:tx>
          <c:spPr>
            <a:solidFill>
              <a:schemeClr val="bg2">
                <a:lumMod val="50000"/>
              </a:schemeClr>
            </a:solidFill>
          </c:spPr>
          <c:invertIfNegative val="0"/>
          <c:cat>
            <c:strRef>
              <c:f>Grafer!$C$1162:$D$1162</c:f>
              <c:strCache>
                <c:ptCount val="2"/>
                <c:pt idx="0">
                  <c:v>Produktion</c:v>
                </c:pt>
                <c:pt idx="1">
                  <c:v>Forbrug</c:v>
                </c:pt>
              </c:strCache>
            </c:strRef>
          </c:cat>
          <c:val>
            <c:numRef>
              <c:f>Grafer!$C$1177:$D$1177</c:f>
              <c:numCache>
                <c:formatCode>#,##0</c:formatCode>
                <c:ptCount val="2"/>
                <c:pt idx="0">
                  <c:v>0</c:v>
                </c:pt>
              </c:numCache>
            </c:numRef>
          </c:val>
          <c:extLst xmlns:c16r2="http://schemas.microsoft.com/office/drawing/2015/06/chart">
            <c:ext xmlns:c16="http://schemas.microsoft.com/office/drawing/2014/chart" uri="{C3380CC4-5D6E-409C-BE32-E72D297353CC}">
              <c16:uniqueId val="{0000000E-DDD3-41C4-811E-BC69A14CAE96}"/>
            </c:ext>
          </c:extLst>
        </c:ser>
        <c:ser>
          <c:idx val="15"/>
          <c:order val="15"/>
          <c:tx>
            <c:strRef>
              <c:f>Grafer!$B$1178</c:f>
              <c:strCache>
                <c:ptCount val="1"/>
                <c:pt idx="0">
                  <c:v>Overskudsvarme</c:v>
                </c:pt>
              </c:strCache>
            </c:strRef>
          </c:tx>
          <c:spPr>
            <a:solidFill>
              <a:schemeClr val="accent6">
                <a:lumMod val="60000"/>
                <a:lumOff val="40000"/>
              </a:schemeClr>
            </a:solidFill>
          </c:spPr>
          <c:invertIfNegative val="0"/>
          <c:cat>
            <c:strRef>
              <c:f>Grafer!$C$1162:$D$1162</c:f>
              <c:strCache>
                <c:ptCount val="2"/>
                <c:pt idx="0">
                  <c:v>Produktion</c:v>
                </c:pt>
                <c:pt idx="1">
                  <c:v>Forbrug</c:v>
                </c:pt>
              </c:strCache>
            </c:strRef>
          </c:cat>
          <c:val>
            <c:numRef>
              <c:f>Grafer!$C$1178:$D$1178</c:f>
              <c:numCache>
                <c:formatCode>#,##0</c:formatCode>
                <c:ptCount val="2"/>
                <c:pt idx="0">
                  <c:v>0</c:v>
                </c:pt>
              </c:numCache>
            </c:numRef>
          </c:val>
          <c:extLst xmlns:c16r2="http://schemas.microsoft.com/office/drawing/2015/06/chart">
            <c:ext xmlns:c16="http://schemas.microsoft.com/office/drawing/2014/chart" uri="{C3380CC4-5D6E-409C-BE32-E72D297353CC}">
              <c16:uniqueId val="{0000000F-DDD3-41C4-811E-BC69A14CAE96}"/>
            </c:ext>
          </c:extLst>
        </c:ser>
        <c:dLbls>
          <c:showLegendKey val="0"/>
          <c:showVal val="0"/>
          <c:showCatName val="0"/>
          <c:showSerName val="0"/>
          <c:showPercent val="0"/>
          <c:showBubbleSize val="0"/>
        </c:dLbls>
        <c:gapWidth val="150"/>
        <c:overlap val="100"/>
        <c:axId val="316635984"/>
        <c:axId val="316637552"/>
      </c:barChart>
      <c:catAx>
        <c:axId val="3166359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7552"/>
        <c:crosses val="autoZero"/>
        <c:auto val="1"/>
        <c:lblAlgn val="ctr"/>
        <c:lblOffset val="100"/>
        <c:noMultiLvlLbl val="0"/>
      </c:catAx>
      <c:valAx>
        <c:axId val="31663755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598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88" l="0.70000000000000062" r="0.70000000000000062" t="0.7500000000000118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8972932109694"/>
          <c:y val="3.465346534653465E-2"/>
          <c:w val="0.61922902337411956"/>
          <c:h val="0.85396039603960394"/>
        </c:manualLayout>
      </c:layout>
      <c:barChart>
        <c:barDir val="col"/>
        <c:grouping val="stacked"/>
        <c:varyColors val="0"/>
        <c:ser>
          <c:idx val="0"/>
          <c:order val="0"/>
          <c:tx>
            <c:strRef>
              <c:f>Grafer!$B$643</c:f>
              <c:strCache>
                <c:ptCount val="1"/>
                <c:pt idx="0">
                  <c:v>Individuel opvarmning</c:v>
                </c:pt>
              </c:strCache>
            </c:strRef>
          </c:tx>
          <c:invertIfNegative val="0"/>
          <c:cat>
            <c:strRef>
              <c:extLst>
                <c:ext xmlns:c15="http://schemas.microsoft.com/office/drawing/2012/chart" uri="{02D57815-91ED-43cb-92C2-25804820EDAC}">
                  <c15:fullRef>
                    <c15:sqref>Grafer!$C$642:$E$642</c15:sqref>
                  </c15:fullRef>
                </c:ext>
              </c:extLst>
              <c:f>(Grafer!$C$642,Grafer!$E$642)</c:f>
              <c:strCache>
                <c:ptCount val="2"/>
                <c:pt idx="0">
                  <c:v>2018</c:v>
                </c:pt>
                <c:pt idx="1">
                  <c:v>BAU2050</c:v>
                </c:pt>
              </c:strCache>
            </c:strRef>
          </c:cat>
          <c:val>
            <c:numRef>
              <c:extLst>
                <c:ext xmlns:c15="http://schemas.microsoft.com/office/drawing/2012/chart" uri="{02D57815-91ED-43cb-92C2-25804820EDAC}">
                  <c15:fullRef>
                    <c15:sqref>Grafer!$C$643:$E$643</c15:sqref>
                  </c15:fullRef>
                </c:ext>
              </c:extLst>
              <c:f>(Grafer!$C$643,Grafer!$E$643)</c:f>
              <c:numCache>
                <c:formatCode>#,##0</c:formatCode>
                <c:ptCount val="2"/>
                <c:pt idx="0">
                  <c:v>31.159299999999998</c:v>
                </c:pt>
                <c:pt idx="1">
                  <c:v>15.64992</c:v>
                </c:pt>
              </c:numCache>
            </c:numRef>
          </c:val>
          <c:extLst xmlns:c16r2="http://schemas.microsoft.com/office/drawing/2015/06/chart">
            <c:ext xmlns:c16="http://schemas.microsoft.com/office/drawing/2014/chart" uri="{C3380CC4-5D6E-409C-BE32-E72D297353CC}">
              <c16:uniqueId val="{00000000-7010-47D2-A9CC-02D48174ADBF}"/>
            </c:ext>
          </c:extLst>
        </c:ser>
        <c:ser>
          <c:idx val="1"/>
          <c:order val="1"/>
          <c:tx>
            <c:strRef>
              <c:f>Grafer!$B$644</c:f>
              <c:strCache>
                <c:ptCount val="1"/>
                <c:pt idx="0">
                  <c:v>Kollektiv el- og varmeforsyning</c:v>
                </c:pt>
              </c:strCache>
            </c:strRef>
          </c:tx>
          <c:invertIfNegative val="0"/>
          <c:cat>
            <c:strRef>
              <c:extLst>
                <c:ext xmlns:c15="http://schemas.microsoft.com/office/drawing/2012/chart" uri="{02D57815-91ED-43cb-92C2-25804820EDAC}">
                  <c15:fullRef>
                    <c15:sqref>Grafer!$C$642:$E$642</c15:sqref>
                  </c15:fullRef>
                </c:ext>
              </c:extLst>
              <c:f>(Grafer!$C$642,Grafer!$E$642)</c:f>
              <c:strCache>
                <c:ptCount val="2"/>
                <c:pt idx="0">
                  <c:v>2018</c:v>
                </c:pt>
                <c:pt idx="1">
                  <c:v>BAU2050</c:v>
                </c:pt>
              </c:strCache>
            </c:strRef>
          </c:cat>
          <c:val>
            <c:numRef>
              <c:extLst>
                <c:ext xmlns:c15="http://schemas.microsoft.com/office/drawing/2012/chart" uri="{02D57815-91ED-43cb-92C2-25804820EDAC}">
                  <c15:fullRef>
                    <c15:sqref>Grafer!$C$644:$E$644</c15:sqref>
                  </c15:fullRef>
                </c:ext>
              </c:extLst>
              <c:f>(Grafer!$C$644,Grafer!$E$644)</c:f>
              <c:numCache>
                <c:formatCode>#,##0</c:formatCode>
                <c:ptCount val="2"/>
                <c:pt idx="0">
                  <c:v>12.205934999999998</c:v>
                </c:pt>
                <c:pt idx="1">
                  <c:v>5.5004481000000007</c:v>
                </c:pt>
              </c:numCache>
            </c:numRef>
          </c:val>
          <c:extLst xmlns:c16r2="http://schemas.microsoft.com/office/drawing/2015/06/chart">
            <c:ext xmlns:c16="http://schemas.microsoft.com/office/drawing/2014/chart" uri="{C3380CC4-5D6E-409C-BE32-E72D297353CC}">
              <c16:uniqueId val="{00000001-7010-47D2-A9CC-02D48174ADBF}"/>
            </c:ext>
          </c:extLst>
        </c:ser>
        <c:ser>
          <c:idx val="2"/>
          <c:order val="2"/>
          <c:tx>
            <c:strRef>
              <c:f>Grafer!$B$645</c:f>
              <c:strCache>
                <c:ptCount val="1"/>
                <c:pt idx="0">
                  <c:v>Industri</c:v>
                </c:pt>
              </c:strCache>
            </c:strRef>
          </c:tx>
          <c:invertIfNegative val="0"/>
          <c:cat>
            <c:strRef>
              <c:extLst>
                <c:ext xmlns:c15="http://schemas.microsoft.com/office/drawing/2012/chart" uri="{02D57815-91ED-43cb-92C2-25804820EDAC}">
                  <c15:fullRef>
                    <c15:sqref>Grafer!$C$642:$E$642</c15:sqref>
                  </c15:fullRef>
                </c:ext>
              </c:extLst>
              <c:f>(Grafer!$C$642,Grafer!$E$642)</c:f>
              <c:strCache>
                <c:ptCount val="2"/>
                <c:pt idx="0">
                  <c:v>2018</c:v>
                </c:pt>
                <c:pt idx="1">
                  <c:v>BAU2050</c:v>
                </c:pt>
              </c:strCache>
            </c:strRef>
          </c:cat>
          <c:val>
            <c:numRef>
              <c:extLst>
                <c:ext xmlns:c15="http://schemas.microsoft.com/office/drawing/2012/chart" uri="{02D57815-91ED-43cb-92C2-25804820EDAC}">
                  <c15:fullRef>
                    <c15:sqref>Grafer!$C$645:$E$645</c15:sqref>
                  </c15:fullRef>
                </c:ext>
              </c:extLst>
              <c:f>(Grafer!$C$645,Grafer!$E$645)</c:f>
              <c:numCache>
                <c:formatCode>#,##0</c:formatCode>
                <c:ptCount val="2"/>
                <c:pt idx="0">
                  <c:v>44.493400000000001</c:v>
                </c:pt>
                <c:pt idx="1">
                  <c:v>44.493400000000001</c:v>
                </c:pt>
              </c:numCache>
            </c:numRef>
          </c:val>
          <c:extLst xmlns:c16r2="http://schemas.microsoft.com/office/drawing/2015/06/chart">
            <c:ext xmlns:c16="http://schemas.microsoft.com/office/drawing/2014/chart" uri="{C3380CC4-5D6E-409C-BE32-E72D297353CC}">
              <c16:uniqueId val="{00000002-7010-47D2-A9CC-02D48174ADBF}"/>
            </c:ext>
          </c:extLst>
        </c:ser>
        <c:ser>
          <c:idx val="3"/>
          <c:order val="3"/>
          <c:tx>
            <c:strRef>
              <c:f>Grafer!$B$646</c:f>
              <c:strCache>
                <c:ptCount val="1"/>
                <c:pt idx="0">
                  <c:v>Transport</c:v>
                </c:pt>
              </c:strCache>
            </c:strRef>
          </c:tx>
          <c:invertIfNegative val="0"/>
          <c:cat>
            <c:strRef>
              <c:extLst>
                <c:ext xmlns:c15="http://schemas.microsoft.com/office/drawing/2012/chart" uri="{02D57815-91ED-43cb-92C2-25804820EDAC}">
                  <c15:fullRef>
                    <c15:sqref>Grafer!$C$642:$E$642</c15:sqref>
                  </c15:fullRef>
                </c:ext>
              </c:extLst>
              <c:f>(Grafer!$C$642,Grafer!$E$642)</c:f>
              <c:strCache>
                <c:ptCount val="2"/>
                <c:pt idx="0">
                  <c:v>2018</c:v>
                </c:pt>
                <c:pt idx="1">
                  <c:v>BAU2050</c:v>
                </c:pt>
              </c:strCache>
            </c:strRef>
          </c:cat>
          <c:val>
            <c:numRef>
              <c:extLst>
                <c:ext xmlns:c15="http://schemas.microsoft.com/office/drawing/2012/chart" uri="{02D57815-91ED-43cb-92C2-25804820EDAC}">
                  <c15:fullRef>
                    <c15:sqref>Grafer!$C$646:$E$646</c15:sqref>
                  </c15:fullRef>
                </c:ext>
              </c:extLst>
              <c:f>(Grafer!$C$646,Grafer!$E$646)</c:f>
              <c:numCache>
                <c:formatCode>#,##0</c:formatCode>
                <c:ptCount val="2"/>
                <c:pt idx="0">
                  <c:v>264.93598910000003</c:v>
                </c:pt>
                <c:pt idx="1">
                  <c:v>155.97907681999999</c:v>
                </c:pt>
              </c:numCache>
            </c:numRef>
          </c:val>
          <c:extLst xmlns:c16r2="http://schemas.microsoft.com/office/drawing/2015/06/chart">
            <c:ext xmlns:c16="http://schemas.microsoft.com/office/drawing/2014/chart" uri="{C3380CC4-5D6E-409C-BE32-E72D297353CC}">
              <c16:uniqueId val="{00000003-7010-47D2-A9CC-02D48174ADBF}"/>
            </c:ext>
          </c:extLst>
        </c:ser>
        <c:ser>
          <c:idx val="4"/>
          <c:order val="4"/>
          <c:tx>
            <c:strRef>
              <c:f>Grafer!$B$647</c:f>
              <c:strCache>
                <c:ptCount val="1"/>
                <c:pt idx="0">
                  <c:v>Vindkraft mm.</c:v>
                </c:pt>
              </c:strCache>
            </c:strRef>
          </c:tx>
          <c:invertIfNegative val="0"/>
          <c:cat>
            <c:strRef>
              <c:extLst>
                <c:ext xmlns:c15="http://schemas.microsoft.com/office/drawing/2012/chart" uri="{02D57815-91ED-43cb-92C2-25804820EDAC}">
                  <c15:fullRef>
                    <c15:sqref>Grafer!$C$642:$E$642</c15:sqref>
                  </c15:fullRef>
                </c:ext>
              </c:extLst>
              <c:f>(Grafer!$C$642,Grafer!$E$642)</c:f>
              <c:strCache>
                <c:ptCount val="2"/>
                <c:pt idx="0">
                  <c:v>2018</c:v>
                </c:pt>
                <c:pt idx="1">
                  <c:v>BAU2050</c:v>
                </c:pt>
              </c:strCache>
            </c:strRef>
          </c:cat>
          <c:val>
            <c:numRef>
              <c:extLst>
                <c:ext xmlns:c15="http://schemas.microsoft.com/office/drawing/2012/chart" uri="{02D57815-91ED-43cb-92C2-25804820EDAC}">
                  <c15:fullRef>
                    <c15:sqref>Grafer!$C$647:$E$647</c15:sqref>
                  </c15:fullRef>
                </c:ext>
              </c:extLst>
              <c:f>(Grafer!$C$647,Grafer!$E$647)</c:f>
              <c:numCache>
                <c:formatCode>#,##0</c:formatCode>
                <c:ptCount val="2"/>
              </c:numCache>
            </c:numRef>
          </c:val>
          <c:extLst xmlns:c16r2="http://schemas.microsoft.com/office/drawing/2015/06/chart">
            <c:ext xmlns:c16="http://schemas.microsoft.com/office/drawing/2014/chart" uri="{C3380CC4-5D6E-409C-BE32-E72D297353CC}">
              <c16:uniqueId val="{00000004-7010-47D2-A9CC-02D48174ADBF}"/>
            </c:ext>
          </c:extLst>
        </c:ser>
        <c:ser>
          <c:idx val="5"/>
          <c:order val="5"/>
          <c:tx>
            <c:strRef>
              <c:f>Grafer!$B$648</c:f>
              <c:strCache>
                <c:ptCount val="1"/>
                <c:pt idx="0">
                  <c:v>El-import</c:v>
                </c:pt>
              </c:strCache>
            </c:strRef>
          </c:tx>
          <c:invertIfNegative val="0"/>
          <c:cat>
            <c:strRef>
              <c:extLst>
                <c:ext xmlns:c15="http://schemas.microsoft.com/office/drawing/2012/chart" uri="{02D57815-91ED-43cb-92C2-25804820EDAC}">
                  <c15:fullRef>
                    <c15:sqref>Grafer!$C$642:$E$642</c15:sqref>
                  </c15:fullRef>
                </c:ext>
              </c:extLst>
              <c:f>(Grafer!$C$642,Grafer!$E$642)</c:f>
              <c:strCache>
                <c:ptCount val="2"/>
                <c:pt idx="0">
                  <c:v>2018</c:v>
                </c:pt>
                <c:pt idx="1">
                  <c:v>BAU2050</c:v>
                </c:pt>
              </c:strCache>
            </c:strRef>
          </c:cat>
          <c:val>
            <c:numRef>
              <c:extLst>
                <c:ext xmlns:c15="http://schemas.microsoft.com/office/drawing/2012/chart" uri="{02D57815-91ED-43cb-92C2-25804820EDAC}">
                  <c15:fullRef>
                    <c15:sqref>Grafer!$C$648:$E$648</c15:sqref>
                  </c15:fullRef>
                </c:ext>
              </c:extLst>
              <c:f>(Grafer!$C$648,Grafer!$E$648)</c:f>
              <c:numCache>
                <c:formatCode>#,##0</c:formatCode>
                <c:ptCount val="2"/>
                <c:pt idx="0">
                  <c:v>-16.253355625390768</c:v>
                </c:pt>
                <c:pt idx="1">
                  <c:v>0</c:v>
                </c:pt>
              </c:numCache>
            </c:numRef>
          </c:val>
          <c:extLst xmlns:c16r2="http://schemas.microsoft.com/office/drawing/2015/06/chart">
            <c:ext xmlns:c16="http://schemas.microsoft.com/office/drawing/2014/chart" uri="{C3380CC4-5D6E-409C-BE32-E72D297353CC}">
              <c16:uniqueId val="{00000005-7010-47D2-A9CC-02D48174ADBF}"/>
            </c:ext>
          </c:extLst>
        </c:ser>
        <c:dLbls>
          <c:showLegendKey val="0"/>
          <c:showVal val="0"/>
          <c:showCatName val="0"/>
          <c:showSerName val="0"/>
          <c:showPercent val="0"/>
          <c:showBubbleSize val="0"/>
        </c:dLbls>
        <c:gapWidth val="150"/>
        <c:overlap val="100"/>
        <c:axId val="321334768"/>
        <c:axId val="321334376"/>
      </c:barChart>
      <c:catAx>
        <c:axId val="3213347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21334376"/>
        <c:crosses val="autoZero"/>
        <c:auto val="1"/>
        <c:lblAlgn val="ctr"/>
        <c:lblOffset val="100"/>
        <c:noMultiLvlLbl val="0"/>
      </c:catAx>
      <c:valAx>
        <c:axId val="32133437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tons/ år</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21334768"/>
        <c:crosses val="autoZero"/>
        <c:crossBetween val="between"/>
      </c:valAx>
    </c:plotArea>
    <c:legend>
      <c:legendPos val="r"/>
      <c:legendEntry>
        <c:idx val="1"/>
        <c:delete val="1"/>
      </c:legendEntry>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99" l="0.70000000000000062" r="0.70000000000000062" t="0.75000000000001199"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67805002400348324"/>
          <c:h val="0.89395492112495856"/>
        </c:manualLayout>
      </c:layout>
      <c:barChart>
        <c:barDir val="col"/>
        <c:grouping val="stacked"/>
        <c:varyColors val="0"/>
        <c:ser>
          <c:idx val="10"/>
          <c:order val="9"/>
          <c:tx>
            <c:strRef>
              <c:f>Grafer!$B$112</c:f>
              <c:strCache>
                <c:ptCount val="1"/>
                <c:pt idx="0">
                  <c:v>Vindenergi</c:v>
                </c:pt>
              </c:strCache>
            </c:strRef>
          </c:tx>
          <c:invertIfNegative val="0"/>
          <c:cat>
            <c:strRef>
              <c:f>Grafer!$C$101:$H$101</c:f>
              <c:strCache>
                <c:ptCount val="5"/>
                <c:pt idx="0">
                  <c:v>2018</c:v>
                </c:pt>
                <c:pt idx="1">
                  <c:v>BAU2030</c:v>
                </c:pt>
                <c:pt idx="2">
                  <c:v>BAU2050</c:v>
                </c:pt>
                <c:pt idx="3">
                  <c:v>Mål 2030</c:v>
                </c:pt>
                <c:pt idx="4">
                  <c:v>Mål 2050</c:v>
                </c:pt>
              </c:strCache>
            </c:strRef>
          </c:cat>
          <c:val>
            <c:numRef>
              <c:f>Grafer!$C$112:$H$112</c:f>
              <c:numCache>
                <c:formatCode>#,##0</c:formatCode>
                <c:ptCount val="6"/>
                <c:pt idx="0">
                  <c:v>1209.5999999999999</c:v>
                </c:pt>
                <c:pt idx="1">
                  <c:v>2195.6</c:v>
                </c:pt>
                <c:pt idx="2">
                  <c:v>2195.6</c:v>
                </c:pt>
                <c:pt idx="3">
                  <c:v>0</c:v>
                </c:pt>
                <c:pt idx="4">
                  <c:v>0</c:v>
                </c:pt>
              </c:numCache>
            </c:numRef>
          </c:val>
          <c:extLst xmlns:c16r2="http://schemas.microsoft.com/office/drawing/2015/06/chart">
            <c:ext xmlns:c16="http://schemas.microsoft.com/office/drawing/2014/chart" uri="{C3380CC4-5D6E-409C-BE32-E72D297353CC}">
              <c16:uniqueId val="{0000000A-58D3-4D39-8572-DDD875F48875}"/>
            </c:ext>
          </c:extLst>
        </c:ser>
        <c:ser>
          <c:idx val="12"/>
          <c:order val="11"/>
          <c:tx>
            <c:strRef>
              <c:f>Grafer!$B$114</c:f>
              <c:strCache>
                <c:ptCount val="1"/>
                <c:pt idx="0">
                  <c:v>Solenergi</c:v>
                </c:pt>
              </c:strCache>
            </c:strRef>
          </c:tx>
          <c:invertIfNegative val="0"/>
          <c:cat>
            <c:strRef>
              <c:f>Grafer!$C$101:$H$101</c:f>
              <c:strCache>
                <c:ptCount val="5"/>
                <c:pt idx="0">
                  <c:v>2018</c:v>
                </c:pt>
                <c:pt idx="1">
                  <c:v>BAU2030</c:v>
                </c:pt>
                <c:pt idx="2">
                  <c:v>BAU2050</c:v>
                </c:pt>
                <c:pt idx="3">
                  <c:v>Mål 2030</c:v>
                </c:pt>
                <c:pt idx="4">
                  <c:v>Mål 2050</c:v>
                </c:pt>
              </c:strCache>
            </c:strRef>
          </c:cat>
          <c:val>
            <c:numRef>
              <c:f>Grafer!$C$114:$H$114</c:f>
              <c:numCache>
                <c:formatCode>#,##0</c:formatCode>
                <c:ptCount val="6"/>
                <c:pt idx="0">
                  <c:v>73.099999999999994</c:v>
                </c:pt>
                <c:pt idx="1">
                  <c:v>237.26000000000002</c:v>
                </c:pt>
                <c:pt idx="2">
                  <c:v>237.26000000000002</c:v>
                </c:pt>
                <c:pt idx="3">
                  <c:v>0</c:v>
                </c:pt>
                <c:pt idx="4">
                  <c:v>0</c:v>
                </c:pt>
              </c:numCache>
            </c:numRef>
          </c:val>
          <c:extLst xmlns:c16r2="http://schemas.microsoft.com/office/drawing/2015/06/chart">
            <c:ext xmlns:c16="http://schemas.microsoft.com/office/drawing/2014/chart" uri="{C3380CC4-5D6E-409C-BE32-E72D297353CC}">
              <c16:uniqueId val="{0000000C-58D3-4D39-8572-DDD875F48875}"/>
            </c:ext>
          </c:extLst>
        </c:ser>
        <c:ser>
          <c:idx val="13"/>
          <c:order val="13"/>
          <c:tx>
            <c:strRef>
              <c:f>Grafer!$B$116</c:f>
              <c:strCache>
                <c:ptCount val="1"/>
                <c:pt idx="0">
                  <c:v>Elimport (VE-baseret)</c:v>
                </c:pt>
              </c:strCache>
            </c:strRef>
          </c:tx>
          <c:spPr>
            <a:solidFill>
              <a:srgbClr val="C6D6AC"/>
            </a:solidFill>
          </c:spPr>
          <c:invertIfNegative val="0"/>
          <c:cat>
            <c:strRef>
              <c:f>Grafer!$C$101:$H$101</c:f>
              <c:strCache>
                <c:ptCount val="5"/>
                <c:pt idx="0">
                  <c:v>2018</c:v>
                </c:pt>
                <c:pt idx="1">
                  <c:v>BAU2030</c:v>
                </c:pt>
                <c:pt idx="2">
                  <c:v>BAU2050</c:v>
                </c:pt>
                <c:pt idx="3">
                  <c:v>Mål 2030</c:v>
                </c:pt>
                <c:pt idx="4">
                  <c:v>Mål 2050</c:v>
                </c:pt>
              </c:strCache>
            </c:strRef>
          </c:cat>
          <c:val>
            <c:numRef>
              <c:f>Grafer!$C$116:$H$116</c:f>
              <c:numCache>
                <c:formatCode>#,##0</c:formatCode>
                <c:ptCount val="6"/>
                <c:pt idx="0">
                  <c:v>-57.61743856890056</c:v>
                </c:pt>
                <c:pt idx="1">
                  <c:v>-988.62884322060302</c:v>
                </c:pt>
                <c:pt idx="2">
                  <c:v>-474.44595351550436</c:v>
                </c:pt>
                <c:pt idx="3">
                  <c:v>0</c:v>
                </c:pt>
                <c:pt idx="4">
                  <c:v>0</c:v>
                </c:pt>
              </c:numCache>
            </c:numRef>
          </c:val>
          <c:extLst xmlns:c16r2="http://schemas.microsoft.com/office/drawing/2015/06/chart">
            <c:ext xmlns:c16="http://schemas.microsoft.com/office/drawing/2014/chart" uri="{C3380CC4-5D6E-409C-BE32-E72D297353CC}">
              <c16:uniqueId val="{0000000E-58D3-4D39-8572-DDD875F48875}"/>
            </c:ext>
          </c:extLst>
        </c:ser>
        <c:ser>
          <c:idx val="1"/>
          <c:order val="14"/>
          <c:tx>
            <c:strRef>
              <c:f>Grafer!$B$102</c:f>
              <c:strCache>
                <c:ptCount val="1"/>
                <c:pt idx="0">
                  <c:v>Elimport (fossilbaseret)</c:v>
                </c:pt>
              </c:strCache>
            </c:strRef>
          </c:tx>
          <c:invertIfNegative val="0"/>
          <c:cat>
            <c:strRef>
              <c:f>Grafer!$C$101:$H$101</c:f>
              <c:strCache>
                <c:ptCount val="5"/>
                <c:pt idx="0">
                  <c:v>2018</c:v>
                </c:pt>
                <c:pt idx="1">
                  <c:v>BAU2030</c:v>
                </c:pt>
                <c:pt idx="2">
                  <c:v>BAU2050</c:v>
                </c:pt>
                <c:pt idx="3">
                  <c:v>Mål 2030</c:v>
                </c:pt>
                <c:pt idx="4">
                  <c:v>Mål 2050</c:v>
                </c:pt>
              </c:strCache>
            </c:strRef>
          </c:cat>
          <c:val>
            <c:numRef>
              <c:f>Grafer!$C$102:$H$102</c:f>
              <c:numCache>
                <c:formatCode>#,##0</c:formatCode>
                <c:ptCount val="6"/>
                <c:pt idx="0">
                  <c:v>-73.331285451328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D3-4D39-8572-DDD875F48875}"/>
            </c:ext>
          </c:extLst>
        </c:ser>
        <c:dLbls>
          <c:showLegendKey val="0"/>
          <c:showVal val="0"/>
          <c:showCatName val="0"/>
          <c:showSerName val="0"/>
          <c:showPercent val="0"/>
          <c:showBubbleSize val="0"/>
        </c:dLbls>
        <c:gapWidth val="150"/>
        <c:overlap val="100"/>
        <c:axId val="321332024"/>
        <c:axId val="321332416"/>
        <c:extLst xmlns:c16r2="http://schemas.microsoft.com/office/drawing/2015/06/chart">
          <c:ext xmlns:c15="http://schemas.microsoft.com/office/drawing/2012/chart" uri="{02D57815-91ED-43cb-92C2-25804820EDAC}">
            <c15:filteredBarSeries>
              <c15:ser>
                <c:idx val="2"/>
                <c:order val="0"/>
                <c:tx>
                  <c:strRef>
                    <c:extLst xmlns:c16r2="http://schemas.microsoft.com/office/drawing/2015/06/chart">
                      <c:ext uri="{02D57815-91ED-43cb-92C2-25804820EDAC}">
                        <c15:formulaRef>
                          <c15:sqref>Grafer!$B$103</c15:sqref>
                        </c15:formulaRef>
                      </c:ext>
                    </c:extLst>
                    <c:strCache>
                      <c:ptCount val="1"/>
                      <c:pt idx="0">
                        <c:v>Kul</c:v>
                      </c:pt>
                    </c:strCache>
                  </c:strRef>
                </c:tx>
                <c:invertIfNegative val="0"/>
                <c:cat>
                  <c:strRef>
                    <c:extLst xmlns:c16r2="http://schemas.microsoft.com/office/drawing/2015/06/chart">
                      <c:ex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6r2="http://schemas.microsoft.com/office/drawing/2015/06/chart">
                      <c:ext uri="{02D57815-91ED-43cb-92C2-25804820EDAC}">
                        <c15:formulaRef>
                          <c15:sqref>Grafer!$C$103:$H$103</c15:sqref>
                        </c15:formulaRef>
                      </c:ext>
                    </c:extLst>
                    <c:numCache>
                      <c:formatCode>#,##0</c:formatCode>
                      <c:ptCount val="6"/>
                      <c:pt idx="0">
                        <c:v>9.3000000000000007</c:v>
                      </c:pt>
                      <c:pt idx="1">
                        <c:v>8.9280000000000008</c:v>
                      </c:pt>
                      <c:pt idx="2">
                        <c:v>8.370000000000001</c:v>
                      </c:pt>
                      <c:pt idx="3">
                        <c:v>0</c:v>
                      </c:pt>
                      <c:pt idx="4">
                        <c:v>0</c:v>
                      </c:pt>
                    </c:numCache>
                  </c:numRef>
                </c:val>
                <c:extLst xmlns:c16r2="http://schemas.microsoft.com/office/drawing/2015/06/chart">
                  <c:ext xmlns:c16="http://schemas.microsoft.com/office/drawing/2014/chart" uri="{C3380CC4-5D6E-409C-BE32-E72D297353CC}">
                    <c16:uniqueId val="{00000001-58D3-4D39-8572-DDD875F48875}"/>
                  </c:ext>
                </c:extLst>
              </c15:ser>
            </c15:filteredBarSeries>
            <c15:filteredBarSeries>
              <c15:ser>
                <c:idx val="3"/>
                <c:order val="1"/>
                <c:tx>
                  <c:strRef>
                    <c:extLst xmlns:c15="http://schemas.microsoft.com/office/drawing/2012/chart" xmlns:c16r2="http://schemas.microsoft.com/office/drawing/2015/06/chart">
                      <c:ext xmlns:c15="http://schemas.microsoft.com/office/drawing/2012/chart" uri="{02D57815-91ED-43cb-92C2-25804820EDAC}">
                        <c15:formulaRef>
                          <c15:sqref>Grafer!$B$104</c15:sqref>
                        </c15:formulaRef>
                      </c:ext>
                    </c:extLst>
                    <c:strCache>
                      <c:ptCount val="1"/>
                      <c:pt idx="0">
                        <c:v>Naturgas og LPG</c:v>
                      </c:pt>
                    </c:strCache>
                  </c:strRef>
                </c:tx>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Grafer!$C$104:$H$104</c15:sqref>
                        </c15:formulaRef>
                      </c:ext>
                    </c:extLst>
                    <c:numCache>
                      <c:formatCode>#,##0</c:formatCode>
                      <c:ptCount val="6"/>
                      <c:pt idx="0">
                        <c:v>1281.4999999999998</c:v>
                      </c:pt>
                      <c:pt idx="1">
                        <c:v>1088.4923199999998</c:v>
                      </c:pt>
                      <c:pt idx="2">
                        <c:v>1084.8837999999998</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2-58D3-4D39-8572-DDD875F48875}"/>
                  </c:ext>
                </c:extLst>
              </c15:ser>
            </c15:filteredBarSeries>
            <c15:filteredBarSeries>
              <c15:ser>
                <c:idx val="4"/>
                <c:order val="2"/>
                <c:tx>
                  <c:strRef>
                    <c:extLst xmlns:c15="http://schemas.microsoft.com/office/drawing/2012/chart" xmlns:c16r2="http://schemas.microsoft.com/office/drawing/2015/06/chart">
                      <c:ext xmlns:c15="http://schemas.microsoft.com/office/drawing/2012/chart" uri="{02D57815-91ED-43cb-92C2-25804820EDAC}">
                        <c15:formulaRef>
                          <c15:sqref>Grafer!$B$105</c15:sqref>
                        </c15:formulaRef>
                      </c:ext>
                    </c:extLst>
                    <c:strCache>
                      <c:ptCount val="1"/>
                      <c:pt idx="0">
                        <c:v>Fuelolie</c:v>
                      </c:pt>
                    </c:strCache>
                  </c:strRef>
                </c:tx>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Grafer!$C$105:$H$105</c15:sqref>
                        </c15:formulaRef>
                      </c:ext>
                    </c:extLst>
                    <c:numCache>
                      <c:formatCode>#,##0</c:formatCode>
                      <c:ptCount val="6"/>
                      <c:pt idx="0">
                        <c:v>0.1</c:v>
                      </c:pt>
                      <c:pt idx="1">
                        <c:v>9.5000000000000001E-2</c:v>
                      </c:pt>
                      <c:pt idx="2">
                        <c:v>9.5000000000000001E-2</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3-58D3-4D39-8572-DDD875F48875}"/>
                  </c:ext>
                </c:extLst>
              </c15:ser>
            </c15:filteredBarSeries>
            <c15:filteredBarSeries>
              <c15:ser>
                <c:idx val="5"/>
                <c:order val="3"/>
                <c:tx>
                  <c:strRef>
                    <c:extLst xmlns:c15="http://schemas.microsoft.com/office/drawing/2012/chart" xmlns:c16r2="http://schemas.microsoft.com/office/drawing/2015/06/chart">
                      <c:ext xmlns:c15="http://schemas.microsoft.com/office/drawing/2012/chart" uri="{02D57815-91ED-43cb-92C2-25804820EDAC}">
                        <c15:formulaRef>
                          <c15:sqref>Grafer!$B$106</c15:sqref>
                        </c15:formulaRef>
                      </c:ext>
                    </c:extLst>
                    <c:strCache>
                      <c:ptCount val="1"/>
                      <c:pt idx="0">
                        <c:v>Brændselsolie/diesel</c:v>
                      </c:pt>
                    </c:strCache>
                  </c:strRef>
                </c:tx>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Grafer!$C$106:$H$106</c15:sqref>
                        </c15:formulaRef>
                      </c:ext>
                    </c:extLst>
                    <c:numCache>
                      <c:formatCode>#,##0</c:formatCode>
                      <c:ptCount val="6"/>
                      <c:pt idx="0">
                        <c:v>2041.9823000000001</c:v>
                      </c:pt>
                      <c:pt idx="1">
                        <c:v>1694.640247</c:v>
                      </c:pt>
                      <c:pt idx="2">
                        <c:v>1059.85546</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4-58D3-4D39-8572-DDD875F48875}"/>
                  </c:ext>
                </c:extLst>
              </c15:ser>
            </c15:filteredBarSeries>
            <c15:filteredBarSeries>
              <c15:ser>
                <c:idx val="14"/>
                <c:order val="4"/>
                <c:tx>
                  <c:strRef>
                    <c:extLst xmlns:c15="http://schemas.microsoft.com/office/drawing/2012/chart" xmlns:c16r2="http://schemas.microsoft.com/office/drawing/2015/06/chart">
                      <c:ext xmlns:c15="http://schemas.microsoft.com/office/drawing/2012/chart" uri="{02D57815-91ED-43cb-92C2-25804820EDAC}">
                        <c15:formulaRef>
                          <c15:sqref>Grafer!$B$107</c15:sqref>
                        </c15:formulaRef>
                      </c:ext>
                    </c:extLst>
                    <c:strCache>
                      <c:ptCount val="1"/>
                      <c:pt idx="0">
                        <c:v>JP1</c:v>
                      </c:pt>
                    </c:strCache>
                  </c:strRef>
                </c:tx>
                <c:spPr>
                  <a:solidFill>
                    <a:srgbClr val="D9AAA9"/>
                  </a:solidFill>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Grafer!$C$107:$H$107</c15:sqref>
                        </c15:formulaRef>
                      </c:ext>
                    </c:extLst>
                    <c:numCache>
                      <c:formatCode>#,##0</c:formatCode>
                      <c:ptCount val="6"/>
                      <c:pt idx="0">
                        <c:v>760.2</c:v>
                      </c:pt>
                      <c:pt idx="1">
                        <c:v>813.4140000000001</c:v>
                      </c:pt>
                      <c:pt idx="2">
                        <c:v>912.24</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5-58D3-4D39-8572-DDD875F48875}"/>
                  </c:ext>
                </c:extLst>
              </c15:ser>
            </c15:filteredBarSeries>
            <c15:filteredBarSeries>
              <c15:ser>
                <c:idx val="6"/>
                <c:order val="5"/>
                <c:tx>
                  <c:strRef>
                    <c:extLst xmlns:c15="http://schemas.microsoft.com/office/drawing/2012/chart" xmlns:c16r2="http://schemas.microsoft.com/office/drawing/2015/06/chart">
                      <c:ext xmlns:c15="http://schemas.microsoft.com/office/drawing/2012/chart" uri="{02D57815-91ED-43cb-92C2-25804820EDAC}">
                        <c15:formulaRef>
                          <c15:sqref>Grafer!$B$108</c15:sqref>
                        </c15:formulaRef>
                      </c:ext>
                    </c:extLst>
                    <c:strCache>
                      <c:ptCount val="1"/>
                      <c:pt idx="0">
                        <c:v>Benzin</c:v>
                      </c:pt>
                    </c:strCache>
                  </c:strRef>
                </c:tx>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Grafer!$C$108:$H$108</c15:sqref>
                        </c15:formulaRef>
                      </c:ext>
                    </c:extLst>
                    <c:numCache>
                      <c:formatCode>#,##0</c:formatCode>
                      <c:ptCount val="6"/>
                      <c:pt idx="0">
                        <c:v>996.6413</c:v>
                      </c:pt>
                      <c:pt idx="1">
                        <c:v>787.57062700000006</c:v>
                      </c:pt>
                      <c:pt idx="2">
                        <c:v>200.12826000000001</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6-58D3-4D39-8572-DDD875F48875}"/>
                  </c:ext>
                </c:extLst>
              </c15:ser>
            </c15:filteredBarSeries>
            <c15:filteredBarSeries>
              <c15:ser>
                <c:idx val="7"/>
                <c:order val="6"/>
                <c:tx>
                  <c:strRef>
                    <c:extLst xmlns:c15="http://schemas.microsoft.com/office/drawing/2012/chart" xmlns:c16r2="http://schemas.microsoft.com/office/drawing/2015/06/chart">
                      <c:ext xmlns:c15="http://schemas.microsoft.com/office/drawing/2012/chart" uri="{02D57815-91ED-43cb-92C2-25804820EDAC}">
                        <c15:formulaRef>
                          <c15:sqref>Grafer!$B$109</c15:sqref>
                        </c15:formulaRef>
                      </c:ext>
                    </c:extLst>
                    <c:strCache>
                      <c:ptCount val="1"/>
                      <c:pt idx="0">
                        <c:v>Affald, ikke bionedbrydeligt</c:v>
                      </c:pt>
                    </c:strCache>
                  </c:strRef>
                </c:tx>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Grafer!$C$109:$H$109</c15:sqref>
                        </c15:formulaRef>
                      </c:ext>
                    </c:extLst>
                    <c:numCache>
                      <c:formatCode>#,##0</c:formatCode>
                      <c:ptCount val="6"/>
                      <c:pt idx="0">
                        <c:v>0</c:v>
                      </c:pt>
                      <c:pt idx="1">
                        <c:v>0</c:v>
                      </c:pt>
                      <c:pt idx="2">
                        <c:v>0</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7-58D3-4D39-8572-DDD875F48875}"/>
                  </c:ext>
                </c:extLst>
              </c15:ser>
            </c15:filteredBarSeries>
            <c15:filteredBarSeries>
              <c15:ser>
                <c:idx val="8"/>
                <c:order val="7"/>
                <c:tx>
                  <c:strRef>
                    <c:extLst xmlns:c15="http://schemas.microsoft.com/office/drawing/2012/chart" xmlns:c16r2="http://schemas.microsoft.com/office/drawing/2015/06/chart">
                      <c:ext xmlns:c15="http://schemas.microsoft.com/office/drawing/2012/chart" uri="{02D57815-91ED-43cb-92C2-25804820EDAC}">
                        <c15:formulaRef>
                          <c15:sqref>Grafer!$B$110</c15:sqref>
                        </c15:formulaRef>
                      </c:ext>
                    </c:extLst>
                    <c:strCache>
                      <c:ptCount val="1"/>
                      <c:pt idx="0">
                        <c:v>Affald, bionedbrydeligt</c:v>
                      </c:pt>
                    </c:strCache>
                  </c:strRef>
                </c:tx>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Grafer!$C$110:$H$110</c15:sqref>
                        </c15:formulaRef>
                      </c:ext>
                    </c:extLst>
                    <c:numCache>
                      <c:formatCode>#,##0</c:formatCode>
                      <c:ptCount val="6"/>
                      <c:pt idx="0">
                        <c:v>0</c:v>
                      </c:pt>
                      <c:pt idx="1">
                        <c:v>0</c:v>
                      </c:pt>
                      <c:pt idx="2">
                        <c:v>0</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8-58D3-4D39-8572-DDD875F48875}"/>
                  </c:ext>
                </c:extLst>
              </c15:ser>
            </c15:filteredBarSeries>
            <c15:filteredBarSeries>
              <c15:ser>
                <c:idx val="9"/>
                <c:order val="8"/>
                <c:tx>
                  <c:strRef>
                    <c:extLst xmlns:c15="http://schemas.microsoft.com/office/drawing/2012/chart" xmlns:c16r2="http://schemas.microsoft.com/office/drawing/2015/06/chart">
                      <c:ext xmlns:c15="http://schemas.microsoft.com/office/drawing/2012/chart" uri="{02D57815-91ED-43cb-92C2-25804820EDAC}">
                        <c15:formulaRef>
                          <c15:sqref>Grafer!$B$111</c15:sqref>
                        </c15:formulaRef>
                      </c:ext>
                    </c:extLst>
                    <c:strCache>
                      <c:ptCount val="1"/>
                      <c:pt idx="0">
                        <c:v>Biomasse</c:v>
                      </c:pt>
                    </c:strCache>
                  </c:strRef>
                </c:tx>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Grafer!$C$111:$H$111</c15:sqref>
                        </c15:formulaRef>
                      </c:ext>
                    </c:extLst>
                    <c:numCache>
                      <c:formatCode>#,##0</c:formatCode>
                      <c:ptCount val="6"/>
                      <c:pt idx="0">
                        <c:v>3614.7764000000002</c:v>
                      </c:pt>
                      <c:pt idx="1">
                        <c:v>3478.8279200000002</c:v>
                      </c:pt>
                      <c:pt idx="2">
                        <c:v>3221.9262800000006</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9-58D3-4D39-8572-DDD875F48875}"/>
                  </c:ext>
                </c:extLst>
              </c15:ser>
            </c15:filteredBarSeries>
            <c15:filteredBarSeries>
              <c15:ser>
                <c:idx val="11"/>
                <c:order val="10"/>
                <c:tx>
                  <c:strRef>
                    <c:extLst xmlns:c15="http://schemas.microsoft.com/office/drawing/2012/chart" xmlns:c16r2="http://schemas.microsoft.com/office/drawing/2015/06/chart">
                      <c:ext xmlns:c15="http://schemas.microsoft.com/office/drawing/2012/chart" uri="{02D57815-91ED-43cb-92C2-25804820EDAC}">
                        <c15:formulaRef>
                          <c15:sqref>Grafer!$B$113</c15:sqref>
                        </c15:formulaRef>
                      </c:ext>
                    </c:extLst>
                    <c:strCache>
                      <c:ptCount val="1"/>
                      <c:pt idx="0">
                        <c:v>Biogas</c:v>
                      </c:pt>
                    </c:strCache>
                  </c:strRef>
                </c:tx>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Grafer!$C$113:$H$113</c15:sqref>
                        </c15:formulaRef>
                      </c:ext>
                    </c:extLst>
                    <c:numCache>
                      <c:formatCode>#,##0</c:formatCode>
                      <c:ptCount val="6"/>
                      <c:pt idx="0">
                        <c:v>30.7</c:v>
                      </c:pt>
                      <c:pt idx="1">
                        <c:v>29.472000000000001</c:v>
                      </c:pt>
                      <c:pt idx="2">
                        <c:v>27.630000000000003</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B-58D3-4D39-8572-DDD875F48875}"/>
                  </c:ext>
                </c:extLst>
              </c15:ser>
            </c15:filteredBarSeries>
            <c15:filteredBarSeries>
              <c15:ser>
                <c:idx val="0"/>
                <c:order val="12"/>
                <c:tx>
                  <c:strRef>
                    <c:extLst xmlns:c15="http://schemas.microsoft.com/office/drawing/2012/chart" xmlns:c16r2="http://schemas.microsoft.com/office/drawing/2015/06/chart">
                      <c:ext xmlns:c15="http://schemas.microsoft.com/office/drawing/2012/chart" uri="{02D57815-91ED-43cb-92C2-25804820EDAC}">
                        <c15:formulaRef>
                          <c15:sqref>Grafer!$B$115</c15:sqref>
                        </c15:formulaRef>
                      </c:ext>
                    </c:extLst>
                    <c:strCache>
                      <c:ptCount val="1"/>
                      <c:pt idx="0">
                        <c:v>Jordvarme, geotermi, vandkraft mm.</c:v>
                      </c:pt>
                    </c:strCache>
                  </c:strRef>
                </c:tx>
                <c:invertIfNegative val="0"/>
                <c:cat>
                  <c:strRef>
                    <c:extLst xmlns:c15="http://schemas.microsoft.com/office/drawing/2012/chart" xmlns:c16r2="http://schemas.microsoft.com/office/drawing/2015/06/chart">
                      <c:ext xmlns:c15="http://schemas.microsoft.com/office/drawing/2012/chart" uri="{02D57815-91ED-43cb-92C2-25804820EDAC}">
                        <c15:formulaRef>
                          <c15:sqref>Grafer!$C$101:$H$101</c15:sqref>
                        </c15:formulaRef>
                      </c:ext>
                    </c:extLst>
                    <c:strCache>
                      <c:ptCount val="5"/>
                      <c:pt idx="0">
                        <c:v>2018</c:v>
                      </c:pt>
                      <c:pt idx="1">
                        <c:v>BAU2030</c:v>
                      </c:pt>
                      <c:pt idx="2">
                        <c:v>BAU2050</c:v>
                      </c:pt>
                      <c:pt idx="3">
                        <c:v>Mål 2030</c:v>
                      </c:pt>
                      <c:pt idx="4">
                        <c:v>Mål 2050</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Grafer!$C$115:$H$115</c15:sqref>
                        </c15:formulaRef>
                      </c:ext>
                    </c:extLst>
                    <c:numCache>
                      <c:formatCode>#,##0</c:formatCode>
                      <c:ptCount val="6"/>
                      <c:pt idx="0">
                        <c:v>18</c:v>
                      </c:pt>
                      <c:pt idx="1">
                        <c:v>105.99333333333333</c:v>
                      </c:pt>
                      <c:pt idx="2">
                        <c:v>273</c:v>
                      </c:pt>
                      <c:pt idx="3">
                        <c:v>0</c:v>
                      </c:pt>
                      <c:pt idx="4">
                        <c:v>0</c:v>
                      </c:pt>
                    </c:numCache>
                  </c:numRef>
                </c:val>
                <c:extLst xmlns:c15="http://schemas.microsoft.com/office/drawing/2012/chart" xmlns:c16r2="http://schemas.microsoft.com/office/drawing/2015/06/chart">
                  <c:ext xmlns:c16="http://schemas.microsoft.com/office/drawing/2014/chart" uri="{C3380CC4-5D6E-409C-BE32-E72D297353CC}">
                    <c16:uniqueId val="{0000000D-58D3-4D39-8572-DDD875F48875}"/>
                  </c:ext>
                </c:extLst>
              </c15:ser>
            </c15:filteredBarSeries>
          </c:ext>
        </c:extLst>
      </c:barChart>
      <c:catAx>
        <c:axId val="3213320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21332416"/>
        <c:crosses val="autoZero"/>
        <c:auto val="1"/>
        <c:lblAlgn val="ctr"/>
        <c:lblOffset val="100"/>
        <c:noMultiLvlLbl val="0"/>
      </c:catAx>
      <c:valAx>
        <c:axId val="32133241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2133202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088" l="0.70000000000000062" r="0.70000000000000062" t="0.75000000000001088"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6208333333352"/>
          <c:y val="3.465346534653465E-2"/>
          <c:w val="0.67805002400348324"/>
          <c:h val="0.89395492112495856"/>
        </c:manualLayout>
      </c:layout>
      <c:barChart>
        <c:barDir val="col"/>
        <c:grouping val="stacked"/>
        <c:varyColors val="0"/>
        <c:ser>
          <c:idx val="2"/>
          <c:order val="0"/>
          <c:tx>
            <c:strRef>
              <c:f>Grafer!$B$120</c:f>
              <c:strCache>
                <c:ptCount val="1"/>
                <c:pt idx="0">
                  <c:v>Fast Biomasse</c:v>
                </c:pt>
              </c:strCache>
            </c:strRef>
          </c:tx>
          <c:invertIfNegative val="0"/>
          <c:cat>
            <c:strRef>
              <c:extLst>
                <c:ext xmlns:c15="http://schemas.microsoft.com/office/drawing/2012/chart" uri="{02D57815-91ED-43cb-92C2-25804820EDAC}">
                  <c15:fullRef>
                    <c15:sqref>Grafer!$C$101:$G$101</c15:sqref>
                  </c15:fullRef>
                </c:ext>
              </c:extLst>
              <c:f>(Grafer!$C$101:$D$101,Grafer!$F$101:$G$101)</c:f>
              <c:strCache>
                <c:ptCount val="4"/>
                <c:pt idx="0">
                  <c:v>2018</c:v>
                </c:pt>
                <c:pt idx="1">
                  <c:v>BAU2030</c:v>
                </c:pt>
                <c:pt idx="2">
                  <c:v>Mål 2030</c:v>
                </c:pt>
                <c:pt idx="3">
                  <c:v>Mål 2050</c:v>
                </c:pt>
              </c:strCache>
            </c:strRef>
          </c:cat>
          <c:val>
            <c:numRef>
              <c:extLst>
                <c:ext xmlns:c15="http://schemas.microsoft.com/office/drawing/2012/chart" uri="{02D57815-91ED-43cb-92C2-25804820EDAC}">
                  <c15:fullRef>
                    <c15:sqref>Grafer!$C$120:$G$120</c15:sqref>
                  </c15:fullRef>
                </c:ext>
              </c:extLst>
              <c:f>(Grafer!$C$120:$D$120,Grafer!$F$120:$G$120)</c:f>
              <c:numCache>
                <c:formatCode>#,##0</c:formatCode>
                <c:ptCount val="4"/>
                <c:pt idx="0">
                  <c:v>3614.7764000000002</c:v>
                </c:pt>
                <c:pt idx="1">
                  <c:v>3478.8279200000002</c:v>
                </c:pt>
                <c:pt idx="2">
                  <c:v>0</c:v>
                </c:pt>
                <c:pt idx="3">
                  <c:v>0</c:v>
                </c:pt>
              </c:numCache>
            </c:numRef>
          </c:val>
          <c:extLst xmlns:c15="http://schemas.microsoft.com/office/drawing/2012/chart" xmlns:c16r2="http://schemas.microsoft.com/office/drawing/2015/06/chart">
            <c:ext xmlns:c16="http://schemas.microsoft.com/office/drawing/2014/chart" uri="{C3380CC4-5D6E-409C-BE32-E72D297353CC}">
              <c16:uniqueId val="{00000004-0769-4007-B885-F143DD7B5451}"/>
            </c:ext>
          </c:extLst>
        </c:ser>
        <c:ser>
          <c:idx val="0"/>
          <c:order val="1"/>
          <c:tx>
            <c:strRef>
              <c:f>Grafer!$B$121</c:f>
              <c:strCache>
                <c:ptCount val="1"/>
                <c:pt idx="0">
                  <c:v>Biogas</c:v>
                </c:pt>
              </c:strCache>
            </c:strRef>
          </c:tx>
          <c:invertIfNegative val="0"/>
          <c:cat>
            <c:strRef>
              <c:extLst>
                <c:ext xmlns:c15="http://schemas.microsoft.com/office/drawing/2012/chart" uri="{02D57815-91ED-43cb-92C2-25804820EDAC}">
                  <c15:fullRef>
                    <c15:sqref>Grafer!$C$101:$G$101</c15:sqref>
                  </c15:fullRef>
                </c:ext>
              </c:extLst>
              <c:f>(Grafer!$C$101:$D$101,Grafer!$F$101:$G$101)</c:f>
              <c:strCache>
                <c:ptCount val="4"/>
                <c:pt idx="0">
                  <c:v>2018</c:v>
                </c:pt>
                <c:pt idx="1">
                  <c:v>BAU2030</c:v>
                </c:pt>
                <c:pt idx="2">
                  <c:v>Mål 2030</c:v>
                </c:pt>
                <c:pt idx="3">
                  <c:v>Mål 2050</c:v>
                </c:pt>
              </c:strCache>
            </c:strRef>
          </c:cat>
          <c:val>
            <c:numRef>
              <c:extLst>
                <c:ext xmlns:c15="http://schemas.microsoft.com/office/drawing/2012/chart" uri="{02D57815-91ED-43cb-92C2-25804820EDAC}">
                  <c15:fullRef>
                    <c15:sqref>Grafer!$C$121:$G$121</c15:sqref>
                  </c15:fullRef>
                </c:ext>
              </c:extLst>
              <c:f>(Grafer!$C$121:$D$121,Grafer!$F$121:$G$121)</c:f>
              <c:numCache>
                <c:formatCode>#,##0</c:formatCode>
                <c:ptCount val="4"/>
                <c:pt idx="0">
                  <c:v>30.7</c:v>
                </c:pt>
                <c:pt idx="1">
                  <c:v>29.472000000000001</c:v>
                </c:pt>
                <c:pt idx="2">
                  <c:v>0</c:v>
                </c:pt>
                <c:pt idx="3">
                  <c:v>0</c:v>
                </c:pt>
              </c:numCache>
            </c:numRef>
          </c:val>
          <c:extLst xmlns:c16r2="http://schemas.microsoft.com/office/drawing/2015/06/chart">
            <c:ext xmlns:c16="http://schemas.microsoft.com/office/drawing/2014/chart" uri="{C3380CC4-5D6E-409C-BE32-E72D297353CC}">
              <c16:uniqueId val="{00000011-0769-4007-B885-F143DD7B5451}"/>
            </c:ext>
          </c:extLst>
        </c:ser>
        <c:ser>
          <c:idx val="1"/>
          <c:order val="2"/>
          <c:tx>
            <c:strRef>
              <c:f>Grafer!$B$122</c:f>
              <c:strCache>
                <c:ptCount val="1"/>
                <c:pt idx="0">
                  <c:v>Affald</c:v>
                </c:pt>
              </c:strCache>
            </c:strRef>
          </c:tx>
          <c:invertIfNegative val="0"/>
          <c:cat>
            <c:strRef>
              <c:extLst>
                <c:ext xmlns:c15="http://schemas.microsoft.com/office/drawing/2012/chart" uri="{02D57815-91ED-43cb-92C2-25804820EDAC}">
                  <c15:fullRef>
                    <c15:sqref>Grafer!$C$101:$G$101</c15:sqref>
                  </c15:fullRef>
                </c:ext>
              </c:extLst>
              <c:f>(Grafer!$C$101:$D$101,Grafer!$F$101:$G$101)</c:f>
              <c:strCache>
                <c:ptCount val="4"/>
                <c:pt idx="0">
                  <c:v>2018</c:v>
                </c:pt>
                <c:pt idx="1">
                  <c:v>BAU2030</c:v>
                </c:pt>
                <c:pt idx="2">
                  <c:v>Mål 2030</c:v>
                </c:pt>
                <c:pt idx="3">
                  <c:v>Mål 2050</c:v>
                </c:pt>
              </c:strCache>
            </c:strRef>
          </c:cat>
          <c:val>
            <c:numRef>
              <c:extLst>
                <c:ext xmlns:c15="http://schemas.microsoft.com/office/drawing/2012/chart" uri="{02D57815-91ED-43cb-92C2-25804820EDAC}">
                  <c15:fullRef>
                    <c15:sqref>Grafer!$C$122:$G$122</c15:sqref>
                  </c15:fullRef>
                </c:ext>
              </c:extLst>
              <c:f>(Grafer!$C$122:$D$122,Grafer!$F$122:$G$122)</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12-0769-4007-B885-F143DD7B5451}"/>
            </c:ext>
          </c:extLst>
        </c:ser>
        <c:ser>
          <c:idx val="3"/>
          <c:order val="3"/>
          <c:tx>
            <c:strRef>
              <c:f>Grafer!$B$123</c:f>
              <c:strCache>
                <c:ptCount val="1"/>
                <c:pt idx="0">
                  <c:v>Olie og gas</c:v>
                </c:pt>
              </c:strCache>
            </c:strRef>
          </c:tx>
          <c:invertIfNegative val="0"/>
          <c:cat>
            <c:strRef>
              <c:extLst>
                <c:ext xmlns:c15="http://schemas.microsoft.com/office/drawing/2012/chart" uri="{02D57815-91ED-43cb-92C2-25804820EDAC}">
                  <c15:fullRef>
                    <c15:sqref>Grafer!$C$101:$G$101</c15:sqref>
                  </c15:fullRef>
                </c:ext>
              </c:extLst>
              <c:f>(Grafer!$C$101:$D$101,Grafer!$F$101:$G$101)</c:f>
              <c:strCache>
                <c:ptCount val="4"/>
                <c:pt idx="0">
                  <c:v>2018</c:v>
                </c:pt>
                <c:pt idx="1">
                  <c:v>BAU2030</c:v>
                </c:pt>
                <c:pt idx="2">
                  <c:v>Mål 2030</c:v>
                </c:pt>
                <c:pt idx="3">
                  <c:v>Mål 2050</c:v>
                </c:pt>
              </c:strCache>
            </c:strRef>
          </c:cat>
          <c:val>
            <c:numRef>
              <c:extLst>
                <c:ext xmlns:c15="http://schemas.microsoft.com/office/drawing/2012/chart" uri="{02D57815-91ED-43cb-92C2-25804820EDAC}">
                  <c15:fullRef>
                    <c15:sqref>Grafer!$C$123:$G$123</c15:sqref>
                  </c15:fullRef>
                </c:ext>
              </c:extLst>
              <c:f>(Grafer!$C$123:$D$123,Grafer!$F$123:$G$123)</c:f>
              <c:numCache>
                <c:formatCode>#,##0</c:formatCode>
                <c:ptCount val="4"/>
                <c:pt idx="0">
                  <c:v>5089.7236000000003</c:v>
                </c:pt>
                <c:pt idx="1">
                  <c:v>4393.1401939999996</c:v>
                </c:pt>
                <c:pt idx="2">
                  <c:v>0</c:v>
                </c:pt>
                <c:pt idx="3">
                  <c:v>0</c:v>
                </c:pt>
              </c:numCache>
            </c:numRef>
          </c:val>
          <c:extLst xmlns:c16r2="http://schemas.microsoft.com/office/drawing/2015/06/chart">
            <c:ext xmlns:c16="http://schemas.microsoft.com/office/drawing/2014/chart" uri="{C3380CC4-5D6E-409C-BE32-E72D297353CC}">
              <c16:uniqueId val="{00000013-0769-4007-B885-F143DD7B5451}"/>
            </c:ext>
          </c:extLst>
        </c:ser>
        <c:ser>
          <c:idx val="4"/>
          <c:order val="4"/>
          <c:tx>
            <c:strRef>
              <c:f>Grafer!$B$124</c:f>
              <c:strCache>
                <c:ptCount val="1"/>
                <c:pt idx="0">
                  <c:v>El</c:v>
                </c:pt>
              </c:strCache>
            </c:strRef>
          </c:tx>
          <c:invertIfNegative val="0"/>
          <c:cat>
            <c:strRef>
              <c:extLst>
                <c:ext xmlns:c15="http://schemas.microsoft.com/office/drawing/2012/chart" uri="{02D57815-91ED-43cb-92C2-25804820EDAC}">
                  <c15:fullRef>
                    <c15:sqref>Grafer!$C$101:$G$101</c15:sqref>
                  </c15:fullRef>
                </c:ext>
              </c:extLst>
              <c:f>(Grafer!$C$101:$D$101,Grafer!$F$101:$G$101)</c:f>
              <c:strCache>
                <c:ptCount val="4"/>
                <c:pt idx="0">
                  <c:v>2018</c:v>
                </c:pt>
                <c:pt idx="1">
                  <c:v>BAU2030</c:v>
                </c:pt>
                <c:pt idx="2">
                  <c:v>Mål 2030</c:v>
                </c:pt>
                <c:pt idx="3">
                  <c:v>Mål 2050</c:v>
                </c:pt>
              </c:strCache>
            </c:strRef>
          </c:cat>
          <c:val>
            <c:numRef>
              <c:extLst>
                <c:ext xmlns:c15="http://schemas.microsoft.com/office/drawing/2012/chart" uri="{02D57815-91ED-43cb-92C2-25804820EDAC}">
                  <c15:fullRef>
                    <c15:sqref>Grafer!$C$124:$G$124</c15:sqref>
                  </c15:fullRef>
                </c:ext>
              </c:extLst>
              <c:f>(Grafer!$C$124:$D$124,Grafer!$F$124:$G$124)</c:f>
              <c:numCache>
                <c:formatCode>#,##0</c:formatCode>
                <c:ptCount val="4"/>
                <c:pt idx="0">
                  <c:v>1169.7512759797712</c:v>
                </c:pt>
                <c:pt idx="1">
                  <c:v>1550.2244901127303</c:v>
                </c:pt>
                <c:pt idx="2">
                  <c:v>0</c:v>
                </c:pt>
                <c:pt idx="3">
                  <c:v>0</c:v>
                </c:pt>
              </c:numCache>
            </c:numRef>
          </c:val>
          <c:extLst xmlns:c16r2="http://schemas.microsoft.com/office/drawing/2015/06/chart">
            <c:ext xmlns:c16="http://schemas.microsoft.com/office/drawing/2014/chart" uri="{C3380CC4-5D6E-409C-BE32-E72D297353CC}">
              <c16:uniqueId val="{00000001-7E07-4B3E-B9B7-CA8584D33828}"/>
            </c:ext>
          </c:extLst>
        </c:ser>
        <c:dLbls>
          <c:showLegendKey val="0"/>
          <c:showVal val="0"/>
          <c:showCatName val="0"/>
          <c:showSerName val="0"/>
          <c:showPercent val="0"/>
          <c:showBubbleSize val="0"/>
        </c:dLbls>
        <c:gapWidth val="150"/>
        <c:overlap val="100"/>
        <c:axId val="321331240"/>
        <c:axId val="321324968"/>
        <c:extLst xmlns:c16r2="http://schemas.microsoft.com/office/drawing/2015/06/chart"/>
      </c:barChart>
      <c:catAx>
        <c:axId val="3213312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21324968"/>
        <c:crosses val="autoZero"/>
        <c:auto val="1"/>
        <c:lblAlgn val="ctr"/>
        <c:lblOffset val="100"/>
        <c:noMultiLvlLbl val="0"/>
      </c:catAx>
      <c:valAx>
        <c:axId val="32132496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21331240"/>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088" l="0.70000000000000062" r="0.70000000000000062" t="0.75000000000001088"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El forbrug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stacked"/>
        <c:varyColors val="0"/>
        <c:ser>
          <c:idx val="0"/>
          <c:order val="0"/>
          <c:tx>
            <c:strRef>
              <c:f>Sammenfatning!$A$43</c:f>
              <c:strCache>
                <c:ptCount val="1"/>
                <c:pt idx="0">
                  <c:v>Elforbrug</c:v>
                </c:pt>
              </c:strCache>
            </c:strRef>
          </c:tx>
          <c:spPr>
            <a:solidFill>
              <a:schemeClr val="accent1"/>
            </a:solidFill>
            <a:ln>
              <a:noFill/>
            </a:ln>
            <a:effectLst/>
          </c:spPr>
          <c:invertIfNegative val="0"/>
          <c:cat>
            <c:strRef>
              <c:f>Sammenfatning!$B$41:$G$42</c:f>
              <c:strCache>
                <c:ptCount val="6"/>
                <c:pt idx="0">
                  <c:v>1990</c:v>
                </c:pt>
                <c:pt idx="1">
                  <c:v>2018</c:v>
                </c:pt>
                <c:pt idx="2">
                  <c:v>BAU2030</c:v>
                </c:pt>
                <c:pt idx="3">
                  <c:v>BAU2050</c:v>
                </c:pt>
                <c:pt idx="4">
                  <c:v>Mål 2030</c:v>
                </c:pt>
                <c:pt idx="5">
                  <c:v>Mål 2050</c:v>
                </c:pt>
              </c:strCache>
            </c:strRef>
          </c:cat>
          <c:val>
            <c:numRef>
              <c:f>Sammenfatning!$B$43:$G$43</c:f>
              <c:numCache>
                <c:formatCode>#,##0</c:formatCode>
                <c:ptCount val="6"/>
                <c:pt idx="0">
                  <c:v>1276.5927035056447</c:v>
                </c:pt>
                <c:pt idx="1">
                  <c:v>1523.7080781374202</c:v>
                </c:pt>
                <c:pt idx="2">
                  <c:v>1717.6389212746753</c:v>
                </c:pt>
                <c:pt idx="3">
                  <c:v>2161.649254608009</c:v>
                </c:pt>
                <c:pt idx="4">
                  <c:v>0</c:v>
                </c:pt>
                <c:pt idx="5">
                  <c:v>0</c:v>
                </c:pt>
              </c:numCache>
            </c:numRef>
          </c:val>
          <c:extLst xmlns:c16r2="http://schemas.microsoft.com/office/drawing/2015/06/chart">
            <c:ext xmlns:c16="http://schemas.microsoft.com/office/drawing/2014/chart" uri="{C3380CC4-5D6E-409C-BE32-E72D297353CC}">
              <c16:uniqueId val="{00000000-5336-4741-8DE2-34C58ED67F3B}"/>
            </c:ext>
          </c:extLst>
        </c:ser>
        <c:ser>
          <c:idx val="1"/>
          <c:order val="1"/>
          <c:tx>
            <c:strRef>
              <c:f>Sammenfatning!$A$44</c:f>
              <c:strCache>
                <c:ptCount val="1"/>
                <c:pt idx="0">
                  <c:v>Nettab</c:v>
                </c:pt>
              </c:strCache>
            </c:strRef>
          </c:tx>
          <c:spPr>
            <a:solidFill>
              <a:schemeClr val="accent2"/>
            </a:solidFill>
            <a:ln>
              <a:noFill/>
            </a:ln>
            <a:effectLst/>
          </c:spPr>
          <c:invertIfNegative val="0"/>
          <c:cat>
            <c:strRef>
              <c:f>Sammenfatning!$B$41:$G$42</c:f>
              <c:strCache>
                <c:ptCount val="6"/>
                <c:pt idx="0">
                  <c:v>1990</c:v>
                </c:pt>
                <c:pt idx="1">
                  <c:v>2018</c:v>
                </c:pt>
                <c:pt idx="2">
                  <c:v>BAU2030</c:v>
                </c:pt>
                <c:pt idx="3">
                  <c:v>BAU2050</c:v>
                </c:pt>
                <c:pt idx="4">
                  <c:v>Mål 2030</c:v>
                </c:pt>
                <c:pt idx="5">
                  <c:v>Mål 2050</c:v>
                </c:pt>
              </c:strCache>
            </c:strRef>
          </c:cat>
          <c:val>
            <c:numRef>
              <c:f>Sammenfatning!$B$44:$G$44</c:f>
              <c:numCache>
                <c:formatCode>#,##0</c:formatCode>
                <c:ptCount val="6"/>
                <c:pt idx="0">
                  <c:v>101.86826561825615</c:v>
                </c:pt>
                <c:pt idx="1">
                  <c:v>135.20109784235137</c:v>
                </c:pt>
                <c:pt idx="2">
                  <c:v>154.39098430472086</c:v>
                </c:pt>
                <c:pt idx="3">
                  <c:v>193.78874387648625</c:v>
                </c:pt>
                <c:pt idx="4">
                  <c:v>0</c:v>
                </c:pt>
                <c:pt idx="5">
                  <c:v>0</c:v>
                </c:pt>
              </c:numCache>
            </c:numRef>
          </c:val>
          <c:extLst xmlns:c16r2="http://schemas.microsoft.com/office/drawing/2015/06/chart">
            <c:ext xmlns:c16="http://schemas.microsoft.com/office/drawing/2014/chart" uri="{C3380CC4-5D6E-409C-BE32-E72D297353CC}">
              <c16:uniqueId val="{00000001-5336-4741-8DE2-34C58ED67F3B}"/>
            </c:ext>
          </c:extLst>
        </c:ser>
        <c:ser>
          <c:idx val="2"/>
          <c:order val="2"/>
          <c:tx>
            <c:strRef>
              <c:f>Sammenfatning!$A$45</c:f>
              <c:strCache>
                <c:ptCount val="1"/>
                <c:pt idx="0">
                  <c:v>Elforbrug til fjernvarmeprod.</c:v>
                </c:pt>
              </c:strCache>
            </c:strRef>
          </c:tx>
          <c:spPr>
            <a:solidFill>
              <a:schemeClr val="accent3"/>
            </a:solidFill>
            <a:ln>
              <a:noFill/>
            </a:ln>
            <a:effectLst/>
          </c:spPr>
          <c:invertIfNegative val="0"/>
          <c:cat>
            <c:strRef>
              <c:f>Sammenfatning!$B$41:$G$42</c:f>
              <c:strCache>
                <c:ptCount val="6"/>
                <c:pt idx="0">
                  <c:v>1990</c:v>
                </c:pt>
                <c:pt idx="1">
                  <c:v>2018</c:v>
                </c:pt>
                <c:pt idx="2">
                  <c:v>BAU2030</c:v>
                </c:pt>
                <c:pt idx="3">
                  <c:v>BAU2050</c:v>
                </c:pt>
                <c:pt idx="4">
                  <c:v>Mål 2030</c:v>
                </c:pt>
                <c:pt idx="5">
                  <c:v>Mål 2050</c:v>
                </c:pt>
              </c:strCache>
            </c:strRef>
          </c:cat>
          <c:val>
            <c:numRef>
              <c:f>Sammenfatning!$B$45:$G$45</c:f>
              <c:numCache>
                <c:formatCode>#,##0</c:formatCode>
                <c:ptCount val="6"/>
                <c:pt idx="0">
                  <c:v>0</c:v>
                </c:pt>
                <c:pt idx="1">
                  <c:v>0</c:v>
                </c:pt>
                <c:pt idx="2">
                  <c:v>22.338000000000001</c:v>
                </c:pt>
                <c:pt idx="3">
                  <c:v>22.338000000000001</c:v>
                </c:pt>
                <c:pt idx="4">
                  <c:v>0</c:v>
                </c:pt>
                <c:pt idx="5">
                  <c:v>0</c:v>
                </c:pt>
              </c:numCache>
            </c:numRef>
          </c:val>
          <c:extLst xmlns:c16r2="http://schemas.microsoft.com/office/drawing/2015/06/chart">
            <c:ext xmlns:c16="http://schemas.microsoft.com/office/drawing/2014/chart" uri="{C3380CC4-5D6E-409C-BE32-E72D297353CC}">
              <c16:uniqueId val="{00000002-5336-4741-8DE2-34C58ED67F3B}"/>
            </c:ext>
          </c:extLst>
        </c:ser>
        <c:dLbls>
          <c:showLegendKey val="0"/>
          <c:showVal val="0"/>
          <c:showCatName val="0"/>
          <c:showSerName val="0"/>
          <c:showPercent val="0"/>
          <c:showBubbleSize val="0"/>
        </c:dLbls>
        <c:gapWidth val="150"/>
        <c:overlap val="100"/>
        <c:axId val="321323792"/>
        <c:axId val="321324184"/>
      </c:barChart>
      <c:catAx>
        <c:axId val="321323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21324184"/>
        <c:crosses val="autoZero"/>
        <c:auto val="1"/>
        <c:lblAlgn val="ctr"/>
        <c:lblOffset val="100"/>
        <c:noMultiLvlLbl val="0"/>
      </c:catAx>
      <c:valAx>
        <c:axId val="321324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21323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El produktion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stacked"/>
        <c:varyColors val="0"/>
        <c:ser>
          <c:idx val="0"/>
          <c:order val="0"/>
          <c:tx>
            <c:strRef>
              <c:f>Sammenfatning!$A$27</c:f>
              <c:strCache>
                <c:ptCount val="1"/>
                <c:pt idx="0">
                  <c:v>Brændselsolie/diesel</c:v>
                </c:pt>
              </c:strCache>
            </c:strRef>
          </c:tx>
          <c:spPr>
            <a:solidFill>
              <a:schemeClr val="accent1"/>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Sammenfatning!$B$27:$G$27</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E006-47BD-B7A5-11E025943064}"/>
            </c:ext>
          </c:extLst>
        </c:ser>
        <c:ser>
          <c:idx val="1"/>
          <c:order val="1"/>
          <c:tx>
            <c:strRef>
              <c:f>Sammenfatning!$A$28</c:f>
              <c:strCache>
                <c:ptCount val="1"/>
                <c:pt idx="0">
                  <c:v>Kul</c:v>
                </c:pt>
              </c:strCache>
            </c:strRef>
          </c:tx>
          <c:spPr>
            <a:solidFill>
              <a:schemeClr val="accent2"/>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Sammenfatning!$B$28:$G$28</c:f>
              <c:numCache>
                <c:formatCode>#,##0</c:formatCode>
                <c:ptCount val="6"/>
                <c:pt idx="0">
                  <c:v>428.72388000000001</c:v>
                </c:pt>
                <c:pt idx="1">
                  <c:v>1.8228000000000002</c:v>
                </c:pt>
                <c:pt idx="2">
                  <c:v>1.7498880000000003</c:v>
                </c:pt>
                <c:pt idx="3">
                  <c:v>1.6405200000000002</c:v>
                </c:pt>
                <c:pt idx="4">
                  <c:v>0</c:v>
                </c:pt>
                <c:pt idx="5">
                  <c:v>0</c:v>
                </c:pt>
              </c:numCache>
            </c:numRef>
          </c:val>
          <c:extLst xmlns:c16r2="http://schemas.microsoft.com/office/drawing/2015/06/chart">
            <c:ext xmlns:c16="http://schemas.microsoft.com/office/drawing/2014/chart" uri="{C3380CC4-5D6E-409C-BE32-E72D297353CC}">
              <c16:uniqueId val="{00000001-E006-47BD-B7A5-11E025943064}"/>
            </c:ext>
          </c:extLst>
        </c:ser>
        <c:ser>
          <c:idx val="2"/>
          <c:order val="2"/>
          <c:tx>
            <c:strRef>
              <c:f>Sammenfatning!$A$29</c:f>
              <c:strCache>
                <c:ptCount val="1"/>
                <c:pt idx="0">
                  <c:v>Fuelolie</c:v>
                </c:pt>
              </c:strCache>
            </c:strRef>
          </c:tx>
          <c:spPr>
            <a:solidFill>
              <a:schemeClr val="accent3"/>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Sammenfatning!$B$29:$G$29</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E006-47BD-B7A5-11E025943064}"/>
            </c:ext>
          </c:extLst>
        </c:ser>
        <c:ser>
          <c:idx val="3"/>
          <c:order val="3"/>
          <c:tx>
            <c:strRef>
              <c:f>Sammenfatning!$A$30</c:f>
              <c:strCache>
                <c:ptCount val="1"/>
                <c:pt idx="0">
                  <c:v>Naturgas</c:v>
                </c:pt>
              </c:strCache>
            </c:strRef>
          </c:tx>
          <c:spPr>
            <a:solidFill>
              <a:schemeClr val="accent4"/>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Sammenfatning!$B$30:$G$30</c:f>
              <c:numCache>
                <c:formatCode>#,##0</c:formatCode>
                <c:ptCount val="6"/>
                <c:pt idx="0">
                  <c:v>0</c:v>
                </c:pt>
                <c:pt idx="1">
                  <c:v>39.7256</c:v>
                </c:pt>
                <c:pt idx="2">
                  <c:v>13.805740799999999</c:v>
                </c:pt>
                <c:pt idx="3">
                  <c:v>12.942882000000003</c:v>
                </c:pt>
                <c:pt idx="4">
                  <c:v>0</c:v>
                </c:pt>
                <c:pt idx="5">
                  <c:v>0</c:v>
                </c:pt>
              </c:numCache>
            </c:numRef>
          </c:val>
          <c:extLst xmlns:c16r2="http://schemas.microsoft.com/office/drawing/2015/06/chart">
            <c:ext xmlns:c16="http://schemas.microsoft.com/office/drawing/2014/chart" uri="{C3380CC4-5D6E-409C-BE32-E72D297353CC}">
              <c16:uniqueId val="{00000003-E006-47BD-B7A5-11E025943064}"/>
            </c:ext>
          </c:extLst>
        </c:ser>
        <c:ser>
          <c:idx val="4"/>
          <c:order val="4"/>
          <c:tx>
            <c:strRef>
              <c:f>Sammenfatning!$A$31</c:f>
              <c:strCache>
                <c:ptCount val="1"/>
                <c:pt idx="0">
                  <c:v>Affald, ikke bionedbrydeligt</c:v>
                </c:pt>
              </c:strCache>
            </c:strRef>
          </c:tx>
          <c:spPr>
            <a:solidFill>
              <a:schemeClr val="accent5"/>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Sammenfatning!$B$31:$G$31</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E006-47BD-B7A5-11E025943064}"/>
            </c:ext>
          </c:extLst>
        </c:ser>
        <c:ser>
          <c:idx val="5"/>
          <c:order val="5"/>
          <c:tx>
            <c:strRef>
              <c:f>Sammenfatning!$A$32</c:f>
              <c:strCache>
                <c:ptCount val="1"/>
                <c:pt idx="0">
                  <c:v>Affald, bionedbrydeligt</c:v>
                </c:pt>
              </c:strCache>
            </c:strRef>
          </c:tx>
          <c:spPr>
            <a:solidFill>
              <a:schemeClr val="accent6"/>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Sammenfatning!$B$32:$G$32</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5-E006-47BD-B7A5-11E025943064}"/>
            </c:ext>
          </c:extLst>
        </c:ser>
        <c:ser>
          <c:idx val="6"/>
          <c:order val="6"/>
          <c:tx>
            <c:strRef>
              <c:f>Sammenfatning!$A$33</c:f>
              <c:strCache>
                <c:ptCount val="1"/>
                <c:pt idx="0">
                  <c:v>Biomasse</c:v>
                </c:pt>
              </c:strCache>
            </c:strRef>
          </c:tx>
          <c:spPr>
            <a:solidFill>
              <a:schemeClr val="accent1">
                <a:lumMod val="60000"/>
              </a:schemeClr>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Sammenfatning!$B$33:$G$33</c:f>
              <c:numCache>
                <c:formatCode>#,##0</c:formatCode>
                <c:ptCount val="6"/>
                <c:pt idx="0">
                  <c:v>0</c:v>
                </c:pt>
                <c:pt idx="1">
                  <c:v>488.45160000000004</c:v>
                </c:pt>
                <c:pt idx="2">
                  <c:v>468.91353600000008</c:v>
                </c:pt>
                <c:pt idx="3">
                  <c:v>439.60644000000008</c:v>
                </c:pt>
                <c:pt idx="4">
                  <c:v>0</c:v>
                </c:pt>
                <c:pt idx="5">
                  <c:v>0</c:v>
                </c:pt>
              </c:numCache>
            </c:numRef>
          </c:val>
          <c:extLst xmlns:c16r2="http://schemas.microsoft.com/office/drawing/2015/06/chart">
            <c:ext xmlns:c16="http://schemas.microsoft.com/office/drawing/2014/chart" uri="{C3380CC4-5D6E-409C-BE32-E72D297353CC}">
              <c16:uniqueId val="{00000006-E006-47BD-B7A5-11E025943064}"/>
            </c:ext>
          </c:extLst>
        </c:ser>
        <c:ser>
          <c:idx val="7"/>
          <c:order val="7"/>
          <c:tx>
            <c:strRef>
              <c:f>Sammenfatning!$A$34</c:f>
              <c:strCache>
                <c:ptCount val="1"/>
                <c:pt idx="0">
                  <c:v>Vindenergi</c:v>
                </c:pt>
              </c:strCache>
            </c:strRef>
          </c:tx>
          <c:spPr>
            <a:solidFill>
              <a:schemeClr val="accent2">
                <a:lumMod val="60000"/>
              </a:schemeClr>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Sammenfatning!$B$34:$G$34</c:f>
              <c:numCache>
                <c:formatCode>#,##0</c:formatCode>
                <c:ptCount val="6"/>
                <c:pt idx="0">
                  <c:v>14.45</c:v>
                </c:pt>
                <c:pt idx="1">
                  <c:v>1209.5999999999999</c:v>
                </c:pt>
                <c:pt idx="2">
                  <c:v>2195.6</c:v>
                </c:pt>
                <c:pt idx="3">
                  <c:v>2195.6</c:v>
                </c:pt>
                <c:pt idx="4">
                  <c:v>0</c:v>
                </c:pt>
                <c:pt idx="5">
                  <c:v>0</c:v>
                </c:pt>
              </c:numCache>
            </c:numRef>
          </c:val>
          <c:extLst xmlns:c16r2="http://schemas.microsoft.com/office/drawing/2015/06/chart">
            <c:ext xmlns:c16="http://schemas.microsoft.com/office/drawing/2014/chart" uri="{C3380CC4-5D6E-409C-BE32-E72D297353CC}">
              <c16:uniqueId val="{00000007-E006-47BD-B7A5-11E025943064}"/>
            </c:ext>
          </c:extLst>
        </c:ser>
        <c:ser>
          <c:idx val="8"/>
          <c:order val="8"/>
          <c:tx>
            <c:strRef>
              <c:f>Sammenfatning!$A$35</c:f>
              <c:strCache>
                <c:ptCount val="1"/>
                <c:pt idx="0">
                  <c:v>Biogas</c:v>
                </c:pt>
              </c:strCache>
            </c:strRef>
          </c:tx>
          <c:spPr>
            <a:solidFill>
              <a:schemeClr val="accent3">
                <a:lumMod val="60000"/>
              </a:schemeClr>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Sammenfatning!$B$35:$G$35</c:f>
              <c:numCache>
                <c:formatCode>#,##0</c:formatCode>
                <c:ptCount val="6"/>
                <c:pt idx="0">
                  <c:v>8.0460272600000007</c:v>
                </c:pt>
                <c:pt idx="1">
                  <c:v>8.2578999999999994</c:v>
                </c:pt>
                <c:pt idx="2">
                  <c:v>7.9275840000000013</c:v>
                </c:pt>
                <c:pt idx="3">
                  <c:v>7.4321099999999998</c:v>
                </c:pt>
                <c:pt idx="4">
                  <c:v>0</c:v>
                </c:pt>
                <c:pt idx="5">
                  <c:v>0</c:v>
                </c:pt>
              </c:numCache>
            </c:numRef>
          </c:val>
          <c:extLst xmlns:c16r2="http://schemas.microsoft.com/office/drawing/2015/06/chart">
            <c:ext xmlns:c16="http://schemas.microsoft.com/office/drawing/2014/chart" uri="{C3380CC4-5D6E-409C-BE32-E72D297353CC}">
              <c16:uniqueId val="{00000008-E006-47BD-B7A5-11E025943064}"/>
            </c:ext>
          </c:extLst>
        </c:ser>
        <c:ser>
          <c:idx val="9"/>
          <c:order val="9"/>
          <c:tx>
            <c:strRef>
              <c:f>Sammenfatning!$A$36</c:f>
              <c:strCache>
                <c:ptCount val="1"/>
                <c:pt idx="0">
                  <c:v>Solenergi</c:v>
                </c:pt>
              </c:strCache>
            </c:strRef>
          </c:tx>
          <c:spPr>
            <a:solidFill>
              <a:schemeClr val="accent4">
                <a:lumMod val="60000"/>
              </a:schemeClr>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Sammenfatning!$B$36:$G$36</c:f>
              <c:numCache>
                <c:formatCode>#,##0</c:formatCode>
                <c:ptCount val="6"/>
                <c:pt idx="0">
                  <c:v>0</c:v>
                </c:pt>
                <c:pt idx="1">
                  <c:v>42</c:v>
                </c:pt>
                <c:pt idx="2">
                  <c:v>195</c:v>
                </c:pt>
                <c:pt idx="3">
                  <c:v>195</c:v>
                </c:pt>
                <c:pt idx="4">
                  <c:v>0</c:v>
                </c:pt>
                <c:pt idx="5">
                  <c:v>0</c:v>
                </c:pt>
              </c:numCache>
            </c:numRef>
          </c:val>
          <c:extLst xmlns:c16r2="http://schemas.microsoft.com/office/drawing/2015/06/chart">
            <c:ext xmlns:c16="http://schemas.microsoft.com/office/drawing/2014/chart" uri="{C3380CC4-5D6E-409C-BE32-E72D297353CC}">
              <c16:uniqueId val="{00000009-E006-47BD-B7A5-11E025943064}"/>
            </c:ext>
          </c:extLst>
        </c:ser>
        <c:ser>
          <c:idx val="10"/>
          <c:order val="10"/>
          <c:tx>
            <c:strRef>
              <c:f>Sammenfatning!$A$37</c:f>
              <c:strCache>
                <c:ptCount val="1"/>
                <c:pt idx="0">
                  <c:v>Vandenergi mv.</c:v>
                </c:pt>
              </c:strCache>
            </c:strRef>
          </c:tx>
          <c:spPr>
            <a:solidFill>
              <a:schemeClr val="accent5">
                <a:lumMod val="60000"/>
              </a:schemeClr>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Sammenfatning!$B$37:$G$37</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A-E006-47BD-B7A5-11E025943064}"/>
            </c:ext>
          </c:extLst>
        </c:ser>
        <c:ser>
          <c:idx val="11"/>
          <c:order val="11"/>
          <c:tx>
            <c:strRef>
              <c:f>Sammenfatning!$A$38</c:f>
              <c:strCache>
                <c:ptCount val="1"/>
                <c:pt idx="0">
                  <c:v>Elimport</c:v>
                </c:pt>
              </c:strCache>
            </c:strRef>
          </c:tx>
          <c:spPr>
            <a:solidFill>
              <a:schemeClr val="accent6">
                <a:lumMod val="60000"/>
              </a:schemeClr>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Sammenfatning!$B$38:$G$38</c:f>
              <c:numCache>
                <c:formatCode>#,##0</c:formatCode>
                <c:ptCount val="6"/>
                <c:pt idx="0">
                  <c:v>927.241061863901</c:v>
                </c:pt>
                <c:pt idx="1">
                  <c:v>-130.94872402022855</c:v>
                </c:pt>
                <c:pt idx="2">
                  <c:v>-988.62884322060302</c:v>
                </c:pt>
                <c:pt idx="3">
                  <c:v>-474.44595351550436</c:v>
                </c:pt>
                <c:pt idx="4">
                  <c:v>0</c:v>
                </c:pt>
                <c:pt idx="5">
                  <c:v>0</c:v>
                </c:pt>
              </c:numCache>
            </c:numRef>
          </c:val>
          <c:extLst xmlns:c16r2="http://schemas.microsoft.com/office/drawing/2015/06/chart">
            <c:ext xmlns:c16="http://schemas.microsoft.com/office/drawing/2014/chart" uri="{C3380CC4-5D6E-409C-BE32-E72D297353CC}">
              <c16:uniqueId val="{0000000B-E006-47BD-B7A5-11E025943064}"/>
            </c:ext>
          </c:extLst>
        </c:ser>
        <c:dLbls>
          <c:showLegendKey val="0"/>
          <c:showVal val="0"/>
          <c:showCatName val="0"/>
          <c:showSerName val="0"/>
          <c:showPercent val="0"/>
          <c:showBubbleSize val="0"/>
        </c:dLbls>
        <c:gapWidth val="150"/>
        <c:overlap val="100"/>
        <c:axId val="321320264"/>
        <c:axId val="321321832"/>
      </c:barChart>
      <c:catAx>
        <c:axId val="321320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21321832"/>
        <c:crosses val="autoZero"/>
        <c:auto val="1"/>
        <c:lblAlgn val="ctr"/>
        <c:lblOffset val="100"/>
        <c:noMultiLvlLbl val="0"/>
      </c:catAx>
      <c:valAx>
        <c:axId val="321321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21320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El import/eksport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spPr>
            <a:solidFill>
              <a:schemeClr val="accent1"/>
            </a:solidFill>
            <a:ln>
              <a:noFill/>
            </a:ln>
            <a:effectLst/>
          </c:spPr>
          <c:invertIfNegative val="0"/>
          <c:cat>
            <c:strRef>
              <c:f>Sammenfatning!$B$26:$G$26</c:f>
              <c:strCache>
                <c:ptCount val="6"/>
                <c:pt idx="0">
                  <c:v>1990</c:v>
                </c:pt>
                <c:pt idx="1">
                  <c:v>2018</c:v>
                </c:pt>
                <c:pt idx="2">
                  <c:v>BAU2030</c:v>
                </c:pt>
                <c:pt idx="3">
                  <c:v>BAU2050</c:v>
                </c:pt>
                <c:pt idx="4">
                  <c:v>Mål 2030</c:v>
                </c:pt>
                <c:pt idx="5">
                  <c:v>Mål 2050</c:v>
                </c:pt>
              </c:strCache>
            </c:strRef>
          </c:cat>
          <c:val>
            <c:numRef>
              <c:f>Sammenfatning!$B$38:$G$38</c:f>
              <c:numCache>
                <c:formatCode>#,##0</c:formatCode>
                <c:ptCount val="6"/>
                <c:pt idx="0">
                  <c:v>927.241061863901</c:v>
                </c:pt>
                <c:pt idx="1">
                  <c:v>-130.94872402022855</c:v>
                </c:pt>
                <c:pt idx="2">
                  <c:v>-988.62884322060302</c:v>
                </c:pt>
                <c:pt idx="3">
                  <c:v>-474.44595351550436</c:v>
                </c:pt>
                <c:pt idx="4">
                  <c:v>0</c:v>
                </c:pt>
                <c:pt idx="5">
                  <c:v>0</c:v>
                </c:pt>
              </c:numCache>
            </c:numRef>
          </c:val>
          <c:extLst xmlns:c16r2="http://schemas.microsoft.com/office/drawing/2015/06/chart">
            <c:ext xmlns:c16="http://schemas.microsoft.com/office/drawing/2014/chart" uri="{C3380CC4-5D6E-409C-BE32-E72D297353CC}">
              <c16:uniqueId val="{00000000-7DE4-4F16-B369-BF9FC31BFF2D}"/>
            </c:ext>
          </c:extLst>
        </c:ser>
        <c:dLbls>
          <c:showLegendKey val="0"/>
          <c:showVal val="0"/>
          <c:showCatName val="0"/>
          <c:showSerName val="0"/>
          <c:showPercent val="0"/>
          <c:showBubbleSize val="0"/>
        </c:dLbls>
        <c:gapWidth val="219"/>
        <c:overlap val="-27"/>
        <c:axId val="321319872"/>
        <c:axId val="321325752"/>
      </c:barChart>
      <c:catAx>
        <c:axId val="32131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21325752"/>
        <c:crosses val="autoZero"/>
        <c:auto val="1"/>
        <c:lblAlgn val="ctr"/>
        <c:lblOffset val="100"/>
        <c:noMultiLvlLbl val="0"/>
      </c:catAx>
      <c:valAx>
        <c:axId val="321325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21319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2445506647357"/>
          <c:y val="0.10337489609310059"/>
          <c:w val="0.85840034318398983"/>
          <c:h val="0.67235742664336529"/>
        </c:manualLayout>
      </c:layout>
      <c:barChart>
        <c:barDir val="col"/>
        <c:grouping val="stacked"/>
        <c:varyColors val="0"/>
        <c:ser>
          <c:idx val="0"/>
          <c:order val="0"/>
          <c:tx>
            <c:strRef>
              <c:f>'SOL og VIND'!$P$8</c:f>
              <c:strCache>
                <c:ptCount val="1"/>
                <c:pt idx="0">
                  <c:v>125 meter (2,3 MW, 3.000 fuldlasttimer)</c:v>
                </c:pt>
              </c:strCache>
            </c:strRef>
          </c:tx>
          <c:spPr>
            <a:solidFill>
              <a:schemeClr val="accent1"/>
            </a:solidFill>
            <a:ln>
              <a:noFill/>
            </a:ln>
            <a:effectLst/>
          </c:spPr>
          <c:invertIfNegative val="0"/>
          <c:val>
            <c:numRef>
              <c:f>'SOL og VIND'!$Q$8</c:f>
              <c:numCache>
                <c:formatCode>General</c:formatCode>
                <c:ptCount val="1"/>
                <c:pt idx="0">
                  <c:v>75</c:v>
                </c:pt>
              </c:numCache>
            </c:numRef>
          </c:val>
          <c:extLst xmlns:c16r2="http://schemas.microsoft.com/office/drawing/2015/06/chart">
            <c:ext xmlns:c16="http://schemas.microsoft.com/office/drawing/2014/chart" uri="{C3380CC4-5D6E-409C-BE32-E72D297353CC}">
              <c16:uniqueId val="{00000000-7530-4DFA-B736-6CA2EA142460}"/>
            </c:ext>
          </c:extLst>
        </c:ser>
        <c:ser>
          <c:idx val="1"/>
          <c:order val="1"/>
          <c:tx>
            <c:strRef>
              <c:f>'SOL og VIND'!$P$9</c:f>
              <c:strCache>
                <c:ptCount val="1"/>
                <c:pt idx="0">
                  <c:v>150 meter (4,2 MW, 3.400 fuldlasttimer)</c:v>
                </c:pt>
              </c:strCache>
            </c:strRef>
          </c:tx>
          <c:spPr>
            <a:solidFill>
              <a:schemeClr val="accent2"/>
            </a:solidFill>
            <a:ln>
              <a:noFill/>
            </a:ln>
            <a:effectLst/>
          </c:spPr>
          <c:invertIfNegative val="0"/>
          <c:val>
            <c:numRef>
              <c:f>'SOL og VIND'!$Q$9</c:f>
              <c:numCache>
                <c:formatCode>General</c:formatCode>
                <c:ptCount val="1"/>
                <c:pt idx="0">
                  <c:v>459</c:v>
                </c:pt>
              </c:numCache>
            </c:numRef>
          </c:val>
          <c:extLst xmlns:c16r2="http://schemas.microsoft.com/office/drawing/2015/06/chart">
            <c:ext xmlns:c16="http://schemas.microsoft.com/office/drawing/2014/chart" uri="{C3380CC4-5D6E-409C-BE32-E72D297353CC}">
              <c16:uniqueId val="{00000001-7530-4DFA-B736-6CA2EA142460}"/>
            </c:ext>
          </c:extLst>
        </c:ser>
        <c:ser>
          <c:idx val="2"/>
          <c:order val="2"/>
          <c:tx>
            <c:strRef>
              <c:f>'SOL og VIND'!$P$10</c:f>
              <c:strCache>
                <c:ptCount val="1"/>
                <c:pt idx="0">
                  <c:v>193 meter (6 MW, 3.800 fuldlasttimer)</c:v>
                </c:pt>
              </c:strCache>
            </c:strRef>
          </c:tx>
          <c:spPr>
            <a:solidFill>
              <a:schemeClr val="accent3"/>
            </a:solidFill>
            <a:ln>
              <a:noFill/>
            </a:ln>
            <a:effectLst/>
          </c:spPr>
          <c:invertIfNegative val="0"/>
          <c:val>
            <c:numRef>
              <c:f>'SOL og VIND'!$Q$10</c:f>
              <c:numCache>
                <c:formatCode>General</c:formatCode>
                <c:ptCount val="1"/>
                <c:pt idx="0">
                  <c:v>574</c:v>
                </c:pt>
              </c:numCache>
            </c:numRef>
          </c:val>
          <c:extLst xmlns:c16r2="http://schemas.microsoft.com/office/drawing/2015/06/chart">
            <c:ext xmlns:c16="http://schemas.microsoft.com/office/drawing/2014/chart" uri="{C3380CC4-5D6E-409C-BE32-E72D297353CC}">
              <c16:uniqueId val="{00000002-7530-4DFA-B736-6CA2EA142460}"/>
            </c:ext>
          </c:extLst>
        </c:ser>
        <c:ser>
          <c:idx val="3"/>
          <c:order val="3"/>
          <c:tx>
            <c:strRef>
              <c:f>'SOL og VIND'!$P$11</c:f>
              <c:strCache>
                <c:ptCount val="1"/>
                <c:pt idx="0">
                  <c:v>Markbaseret solceller </c:v>
                </c:pt>
              </c:strCache>
            </c:strRef>
          </c:tx>
          <c:spPr>
            <a:solidFill>
              <a:schemeClr val="accent4"/>
            </a:solidFill>
            <a:ln>
              <a:noFill/>
            </a:ln>
            <a:effectLst/>
          </c:spPr>
          <c:invertIfNegative val="0"/>
          <c:val>
            <c:numRef>
              <c:f>'SOL og VIND'!$Q$11</c:f>
              <c:numCache>
                <c:formatCode>0</c:formatCode>
                <c:ptCount val="1"/>
                <c:pt idx="0">
                  <c:v>21.999977999999999</c:v>
                </c:pt>
              </c:numCache>
            </c:numRef>
          </c:val>
          <c:extLst xmlns:c16r2="http://schemas.microsoft.com/office/drawing/2015/06/chart">
            <c:ext xmlns:c16="http://schemas.microsoft.com/office/drawing/2014/chart" uri="{C3380CC4-5D6E-409C-BE32-E72D297353CC}">
              <c16:uniqueId val="{00000003-7530-4DFA-B736-6CA2EA142460}"/>
            </c:ext>
          </c:extLst>
        </c:ser>
        <c:dLbls>
          <c:showLegendKey val="0"/>
          <c:showVal val="0"/>
          <c:showCatName val="0"/>
          <c:showSerName val="0"/>
          <c:showPercent val="0"/>
          <c:showBubbleSize val="0"/>
        </c:dLbls>
        <c:gapWidth val="150"/>
        <c:overlap val="100"/>
        <c:axId val="321322224"/>
        <c:axId val="321329672"/>
      </c:barChart>
      <c:lineChart>
        <c:grouping val="stacked"/>
        <c:varyColors val="0"/>
        <c:ser>
          <c:idx val="4"/>
          <c:order val="4"/>
          <c:tx>
            <c:strRef>
              <c:f>'SOL og VIND'!$M$3</c:f>
              <c:strCache>
                <c:ptCount val="1"/>
                <c:pt idx="0">
                  <c:v>Elforbrug der skal dækkes i Randers Kommune 2050</c:v>
                </c:pt>
              </c:strCache>
            </c:strRef>
          </c:tx>
          <c:spPr>
            <a:ln w="28575" cap="rnd">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rker>
            <c:symbol val="circle"/>
            <c:size val="5"/>
            <c:spPr>
              <a:solidFill>
                <a:srgbClr val="FF0000"/>
              </a:solidFill>
              <a:ln w="9525">
                <a:solidFill>
                  <a:schemeClr val="accent5"/>
                </a:solidFill>
              </a:ln>
              <a:effectLst/>
            </c:spPr>
          </c:marker>
          <c:val>
            <c:numRef>
              <c:f>'SOL og VIND'!$N$3</c:f>
              <c:numCache>
                <c:formatCode>#,##0</c:formatCode>
                <c:ptCount val="1"/>
                <c:pt idx="0">
                  <c:v>0</c:v>
                </c:pt>
              </c:numCache>
            </c:numRef>
          </c:val>
          <c:smooth val="0"/>
          <c:extLst xmlns:c16r2="http://schemas.microsoft.com/office/drawing/2015/06/chart">
            <c:ext xmlns:c16="http://schemas.microsoft.com/office/drawing/2014/chart" uri="{C3380CC4-5D6E-409C-BE32-E72D297353CC}">
              <c16:uniqueId val="{00000006-7530-4DFA-B736-6CA2EA142460}"/>
            </c:ext>
          </c:extLst>
        </c:ser>
        <c:dLbls>
          <c:showLegendKey val="0"/>
          <c:showVal val="0"/>
          <c:showCatName val="0"/>
          <c:showSerName val="0"/>
          <c:showPercent val="0"/>
          <c:showBubbleSize val="0"/>
        </c:dLbls>
        <c:marker val="1"/>
        <c:smooth val="0"/>
        <c:axId val="321322224"/>
        <c:axId val="321329672"/>
      </c:lineChart>
      <c:catAx>
        <c:axId val="321322224"/>
        <c:scaling>
          <c:orientation val="minMax"/>
        </c:scaling>
        <c:delete val="1"/>
        <c:axPos val="b"/>
        <c:numFmt formatCode="General" sourceLinked="1"/>
        <c:majorTickMark val="none"/>
        <c:minorTickMark val="none"/>
        <c:tickLblPos val="nextTo"/>
        <c:crossAx val="321329672"/>
        <c:crosses val="autoZero"/>
        <c:auto val="1"/>
        <c:lblAlgn val="ctr"/>
        <c:lblOffset val="100"/>
        <c:noMultiLvlLbl val="0"/>
      </c:catAx>
      <c:valAx>
        <c:axId val="321329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TJ/år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21322224"/>
        <c:crosses val="autoZero"/>
        <c:crossBetween val="between"/>
      </c:valAx>
      <c:spPr>
        <a:noFill/>
        <a:ln>
          <a:noFill/>
        </a:ln>
        <a:effectLst/>
      </c:spPr>
    </c:plotArea>
    <c:legend>
      <c:legendPos val="b"/>
      <c:layout>
        <c:manualLayout>
          <c:xMode val="edge"/>
          <c:yMode val="edge"/>
          <c:x val="0.18665588622351362"/>
          <c:y val="0.84976959479650493"/>
          <c:w val="0.81255828040183531"/>
          <c:h val="0.150230405203495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050972222223144E-2"/>
          <c:y val="3.465346534653465E-2"/>
          <c:w val="0.62995638888888894"/>
          <c:h val="0.82134747474747483"/>
        </c:manualLayout>
      </c:layout>
      <c:barChart>
        <c:barDir val="col"/>
        <c:grouping val="stacked"/>
        <c:varyColors val="0"/>
        <c:ser>
          <c:idx val="0"/>
          <c:order val="0"/>
          <c:tx>
            <c:strRef>
              <c:f>Grafer!$B$305</c:f>
              <c:strCache>
                <c:ptCount val="1"/>
                <c:pt idx="0">
                  <c:v>Individuel opvarmning</c:v>
                </c:pt>
              </c:strCache>
            </c:strRef>
          </c:tx>
          <c:invertIfNegative val="0"/>
          <c:cat>
            <c:multiLvlStrRef>
              <c:extLst>
                <c:ext xmlns:c15="http://schemas.microsoft.com/office/drawing/2012/chart" uri="{02D57815-91ED-43cb-92C2-25804820EDAC}">
                  <c15:fullRef>
                    <c15:sqref>Grafer!$F$303:$AM$304</c15:sqref>
                  </c15:fullRef>
                </c:ext>
              </c:extLst>
              <c:f>Grafer!$F$303:$AM$304</c:f>
              <c:multiLvlStrCache>
                <c:ptCount val="6"/>
                <c:lvl>
                  <c:pt idx="0">
                    <c:v>2018</c:v>
                  </c:pt>
                  <c:pt idx="1">
                    <c:v>BAU2030</c:v>
                  </c:pt>
                  <c:pt idx="2">
                    <c:v>BAU2050</c:v>
                  </c:pt>
                  <c:pt idx="3">
                    <c:v>2018</c:v>
                  </c:pt>
                  <c:pt idx="4">
                    <c:v>BAU2030</c:v>
                  </c:pt>
                  <c:pt idx="5">
                    <c:v>BAU2050</c:v>
                  </c:pt>
                </c:lvl>
                <c:lvl>
                  <c:pt idx="0">
                    <c:v>VE</c:v>
                  </c:pt>
                  <c:pt idx="1">
                    <c:v>VE</c:v>
                  </c:pt>
                  <c:pt idx="2">
                    <c:v>VE</c:v>
                  </c:pt>
                  <c:pt idx="3">
                    <c:v>Fossil</c:v>
                  </c:pt>
                  <c:pt idx="4">
                    <c:v>Fossil</c:v>
                  </c:pt>
                  <c:pt idx="5">
                    <c:v>Fossil</c:v>
                  </c:pt>
                </c:lvl>
              </c:multiLvlStrCache>
            </c:multiLvlStrRef>
          </c:cat>
          <c:val>
            <c:numRef>
              <c:extLst>
                <c:ext xmlns:c15="http://schemas.microsoft.com/office/drawing/2012/chart" uri="{02D57815-91ED-43cb-92C2-25804820EDAC}">
                  <c15:fullRef>
                    <c15:sqref>Grafer!$F$305:$K$305</c15:sqref>
                  </c15:fullRef>
                </c:ext>
              </c:extLst>
              <c:f>Grafer!$F$305:$K$305</c:f>
              <c:numCache>
                <c:formatCode>#,##0</c:formatCode>
                <c:ptCount val="6"/>
                <c:pt idx="0">
                  <c:v>871</c:v>
                </c:pt>
                <c:pt idx="1">
                  <c:v>925.74333333333334</c:v>
                </c:pt>
                <c:pt idx="2">
                  <c:v>1053.0299999999997</c:v>
                </c:pt>
                <c:pt idx="3">
                  <c:v>503.20000000000005</c:v>
                </c:pt>
                <c:pt idx="4">
                  <c:v>316.52159999999981</c:v>
                </c:pt>
                <c:pt idx="5">
                  <c:v>274.55999999999995</c:v>
                </c:pt>
              </c:numCache>
            </c:numRef>
          </c:val>
          <c:extLst xmlns:c16r2="http://schemas.microsoft.com/office/drawing/2015/06/chart">
            <c:ext xmlns:c16="http://schemas.microsoft.com/office/drawing/2014/chart" uri="{C3380CC4-5D6E-409C-BE32-E72D297353CC}">
              <c16:uniqueId val="{00000000-0908-45CB-80C8-77F5885B9ACC}"/>
            </c:ext>
          </c:extLst>
        </c:ser>
        <c:ser>
          <c:idx val="1"/>
          <c:order val="1"/>
          <c:tx>
            <c:strRef>
              <c:f>Grafer!$B$306</c:f>
              <c:strCache>
                <c:ptCount val="1"/>
                <c:pt idx="0">
                  <c:v>Kollektiv el- og varmeforsyning</c:v>
                </c:pt>
              </c:strCache>
            </c:strRef>
          </c:tx>
          <c:invertIfNegative val="0"/>
          <c:cat>
            <c:multiLvlStrRef>
              <c:extLst>
                <c:ext xmlns:c15="http://schemas.microsoft.com/office/drawing/2012/chart" uri="{02D57815-91ED-43cb-92C2-25804820EDAC}">
                  <c15:fullRef>
                    <c15:sqref>Grafer!$F$303:$AM$304</c15:sqref>
                  </c15:fullRef>
                </c:ext>
              </c:extLst>
              <c:f>Grafer!$F$303:$AM$304</c:f>
              <c:multiLvlStrCache>
                <c:ptCount val="6"/>
                <c:lvl>
                  <c:pt idx="0">
                    <c:v>2018</c:v>
                  </c:pt>
                  <c:pt idx="1">
                    <c:v>BAU2030</c:v>
                  </c:pt>
                  <c:pt idx="2">
                    <c:v>BAU2050</c:v>
                  </c:pt>
                  <c:pt idx="3">
                    <c:v>2018</c:v>
                  </c:pt>
                  <c:pt idx="4">
                    <c:v>BAU2030</c:v>
                  </c:pt>
                  <c:pt idx="5">
                    <c:v>BAU2050</c:v>
                  </c:pt>
                </c:lvl>
                <c:lvl>
                  <c:pt idx="0">
                    <c:v>VE</c:v>
                  </c:pt>
                  <c:pt idx="1">
                    <c:v>VE</c:v>
                  </c:pt>
                  <c:pt idx="2">
                    <c:v>VE</c:v>
                  </c:pt>
                  <c:pt idx="3">
                    <c:v>Fossil</c:v>
                  </c:pt>
                  <c:pt idx="4">
                    <c:v>Fossil</c:v>
                  </c:pt>
                  <c:pt idx="5">
                    <c:v>Fossil</c:v>
                  </c:pt>
                </c:lvl>
              </c:multiLvlStrCache>
            </c:multiLvlStrRef>
          </c:cat>
          <c:val>
            <c:numRef>
              <c:extLst>
                <c:ext xmlns:c15="http://schemas.microsoft.com/office/drawing/2012/chart" uri="{02D57815-91ED-43cb-92C2-25804820EDAC}">
                  <c15:fullRef>
                    <c15:sqref>Grafer!$F$306:$T$306</c15:sqref>
                  </c15:fullRef>
                </c:ext>
              </c:extLst>
              <c:f>Grafer!$F$306:$K$306</c:f>
              <c:numCache>
                <c:formatCode>#,##0</c:formatCode>
                <c:ptCount val="6"/>
                <c:pt idx="0">
                  <c:v>2688.0000000000005</c:v>
                </c:pt>
                <c:pt idx="1">
                  <c:v>2617.5120000000002</c:v>
                </c:pt>
                <c:pt idx="2">
                  <c:v>2457.5400000000004</c:v>
                </c:pt>
                <c:pt idx="3">
                  <c:v>202.39999999999964</c:v>
                </c:pt>
                <c:pt idx="4">
                  <c:v>91.216319999999996</c:v>
                </c:pt>
                <c:pt idx="5">
                  <c:v>85.933799999999337</c:v>
                </c:pt>
              </c:numCache>
            </c:numRef>
          </c:val>
          <c:extLst xmlns:c16r2="http://schemas.microsoft.com/office/drawing/2015/06/chart">
            <c:ext xmlns:c16="http://schemas.microsoft.com/office/drawing/2014/chart" uri="{C3380CC4-5D6E-409C-BE32-E72D297353CC}">
              <c16:uniqueId val="{00000001-0908-45CB-80C8-77F5885B9ACC}"/>
            </c:ext>
          </c:extLst>
        </c:ser>
        <c:ser>
          <c:idx val="2"/>
          <c:order val="2"/>
          <c:tx>
            <c:strRef>
              <c:f>Grafer!$B$307</c:f>
              <c:strCache>
                <c:ptCount val="1"/>
                <c:pt idx="0">
                  <c:v>Industri</c:v>
                </c:pt>
              </c:strCache>
            </c:strRef>
          </c:tx>
          <c:invertIfNegative val="0"/>
          <c:cat>
            <c:multiLvlStrRef>
              <c:extLst>
                <c:ext xmlns:c15="http://schemas.microsoft.com/office/drawing/2012/chart" uri="{02D57815-91ED-43cb-92C2-25804820EDAC}">
                  <c15:fullRef>
                    <c15:sqref>Grafer!$F$303:$AM$304</c15:sqref>
                  </c15:fullRef>
                </c:ext>
              </c:extLst>
              <c:f>Grafer!$F$303:$AM$304</c:f>
              <c:multiLvlStrCache>
                <c:ptCount val="6"/>
                <c:lvl>
                  <c:pt idx="0">
                    <c:v>2018</c:v>
                  </c:pt>
                  <c:pt idx="1">
                    <c:v>BAU2030</c:v>
                  </c:pt>
                  <c:pt idx="2">
                    <c:v>BAU2050</c:v>
                  </c:pt>
                  <c:pt idx="3">
                    <c:v>2018</c:v>
                  </c:pt>
                  <c:pt idx="4">
                    <c:v>BAU2030</c:v>
                  </c:pt>
                  <c:pt idx="5">
                    <c:v>BAU2050</c:v>
                  </c:pt>
                </c:lvl>
                <c:lvl>
                  <c:pt idx="0">
                    <c:v>VE</c:v>
                  </c:pt>
                  <c:pt idx="1">
                    <c:v>VE</c:v>
                  </c:pt>
                  <c:pt idx="2">
                    <c:v>VE</c:v>
                  </c:pt>
                  <c:pt idx="3">
                    <c:v>Fossil</c:v>
                  </c:pt>
                  <c:pt idx="4">
                    <c:v>Fossil</c:v>
                  </c:pt>
                  <c:pt idx="5">
                    <c:v>Fossil</c:v>
                  </c:pt>
                </c:lvl>
              </c:multiLvlStrCache>
            </c:multiLvlStrRef>
          </c:cat>
          <c:val>
            <c:numRef>
              <c:extLst>
                <c:ext xmlns:c15="http://schemas.microsoft.com/office/drawing/2012/chart" uri="{02D57815-91ED-43cb-92C2-25804820EDAC}">
                  <c15:fullRef>
                    <c15:sqref>Grafer!$F$307:$T$307</c15:sqref>
                  </c15:fullRef>
                </c:ext>
              </c:extLst>
              <c:f>Grafer!$F$307:$K$307</c:f>
              <c:numCache>
                <c:formatCode>#,##0</c:formatCode>
                <c:ptCount val="6"/>
                <c:pt idx="0">
                  <c:v>1</c:v>
                </c:pt>
                <c:pt idx="1">
                  <c:v>1</c:v>
                </c:pt>
                <c:pt idx="2">
                  <c:v>1</c:v>
                </c:pt>
                <c:pt idx="3">
                  <c:v>769.9</c:v>
                </c:pt>
                <c:pt idx="4">
                  <c:v>769.9</c:v>
                </c:pt>
                <c:pt idx="5">
                  <c:v>769.9</c:v>
                </c:pt>
              </c:numCache>
            </c:numRef>
          </c:val>
          <c:extLst xmlns:c16r2="http://schemas.microsoft.com/office/drawing/2015/06/chart">
            <c:ext xmlns:c16="http://schemas.microsoft.com/office/drawing/2014/chart" uri="{C3380CC4-5D6E-409C-BE32-E72D297353CC}">
              <c16:uniqueId val="{00000002-0908-45CB-80C8-77F5885B9ACC}"/>
            </c:ext>
          </c:extLst>
        </c:ser>
        <c:ser>
          <c:idx val="3"/>
          <c:order val="3"/>
          <c:tx>
            <c:strRef>
              <c:f>Grafer!$B$308</c:f>
              <c:strCache>
                <c:ptCount val="1"/>
                <c:pt idx="0">
                  <c:v>Transport</c:v>
                </c:pt>
              </c:strCache>
            </c:strRef>
          </c:tx>
          <c:invertIfNegative val="0"/>
          <c:cat>
            <c:multiLvlStrRef>
              <c:extLst>
                <c:ext xmlns:c15="http://schemas.microsoft.com/office/drawing/2012/chart" uri="{02D57815-91ED-43cb-92C2-25804820EDAC}">
                  <c15:fullRef>
                    <c15:sqref>Grafer!$F$303:$AM$304</c15:sqref>
                  </c15:fullRef>
                </c:ext>
              </c:extLst>
              <c:f>Grafer!$F$303:$AM$304</c:f>
              <c:multiLvlStrCache>
                <c:ptCount val="6"/>
                <c:lvl>
                  <c:pt idx="0">
                    <c:v>2018</c:v>
                  </c:pt>
                  <c:pt idx="1">
                    <c:v>BAU2030</c:v>
                  </c:pt>
                  <c:pt idx="2">
                    <c:v>BAU2050</c:v>
                  </c:pt>
                  <c:pt idx="3">
                    <c:v>2018</c:v>
                  </c:pt>
                  <c:pt idx="4">
                    <c:v>BAU2030</c:v>
                  </c:pt>
                  <c:pt idx="5">
                    <c:v>BAU2050</c:v>
                  </c:pt>
                </c:lvl>
                <c:lvl>
                  <c:pt idx="0">
                    <c:v>VE</c:v>
                  </c:pt>
                  <c:pt idx="1">
                    <c:v>VE</c:v>
                  </c:pt>
                  <c:pt idx="2">
                    <c:v>VE</c:v>
                  </c:pt>
                  <c:pt idx="3">
                    <c:v>Fossil</c:v>
                  </c:pt>
                  <c:pt idx="4">
                    <c:v>Fossil</c:v>
                  </c:pt>
                  <c:pt idx="5">
                    <c:v>Fossil</c:v>
                  </c:pt>
                </c:lvl>
              </c:multiLvlStrCache>
            </c:multiLvlStrRef>
          </c:cat>
          <c:val>
            <c:numRef>
              <c:extLst>
                <c:ext xmlns:c15="http://schemas.microsoft.com/office/drawing/2012/chart" uri="{02D57815-91ED-43cb-92C2-25804820EDAC}">
                  <c15:fullRef>
                    <c15:sqref>Grafer!$F$308:$T$308</c15:sqref>
                  </c15:fullRef>
                </c:ext>
              </c:extLst>
              <c:f>Grafer!$F$308:$K$308</c:f>
              <c:numCache>
                <c:formatCode>#,##0</c:formatCode>
                <c:ptCount val="6"/>
                <c:pt idx="0">
                  <c:v>134.57640000000001</c:v>
                </c:pt>
                <c:pt idx="1">
                  <c:v>112.29792</c:v>
                </c:pt>
                <c:pt idx="2">
                  <c:v>53.246280000000006</c:v>
                </c:pt>
                <c:pt idx="3">
                  <c:v>3614.2236000000003</c:v>
                </c:pt>
                <c:pt idx="4">
                  <c:v>3215.5022739999999</c:v>
                </c:pt>
                <c:pt idx="5">
                  <c:v>2135.1787199999999</c:v>
                </c:pt>
              </c:numCache>
            </c:numRef>
          </c:val>
          <c:extLst xmlns:c16r2="http://schemas.microsoft.com/office/drawing/2015/06/chart">
            <c:ext xmlns:c16="http://schemas.microsoft.com/office/drawing/2014/chart" uri="{C3380CC4-5D6E-409C-BE32-E72D297353CC}">
              <c16:uniqueId val="{00000003-0908-45CB-80C8-77F5885B9ACC}"/>
            </c:ext>
          </c:extLst>
        </c:ser>
        <c:ser>
          <c:idx val="4"/>
          <c:order val="4"/>
          <c:tx>
            <c:strRef>
              <c:f>Grafer!$B$309</c:f>
              <c:strCache>
                <c:ptCount val="1"/>
                <c:pt idx="0">
                  <c:v>Vindkraft mm.</c:v>
                </c:pt>
              </c:strCache>
            </c:strRef>
          </c:tx>
          <c:invertIfNegative val="0"/>
          <c:cat>
            <c:multiLvlStrRef>
              <c:extLst>
                <c:ext xmlns:c15="http://schemas.microsoft.com/office/drawing/2012/chart" uri="{02D57815-91ED-43cb-92C2-25804820EDAC}">
                  <c15:fullRef>
                    <c15:sqref>Grafer!$F$303:$AM$304</c15:sqref>
                  </c15:fullRef>
                </c:ext>
              </c:extLst>
              <c:f>Grafer!$F$303:$AM$304</c:f>
              <c:multiLvlStrCache>
                <c:ptCount val="6"/>
                <c:lvl>
                  <c:pt idx="0">
                    <c:v>2018</c:v>
                  </c:pt>
                  <c:pt idx="1">
                    <c:v>BAU2030</c:v>
                  </c:pt>
                  <c:pt idx="2">
                    <c:v>BAU2050</c:v>
                  </c:pt>
                  <c:pt idx="3">
                    <c:v>2018</c:v>
                  </c:pt>
                  <c:pt idx="4">
                    <c:v>BAU2030</c:v>
                  </c:pt>
                  <c:pt idx="5">
                    <c:v>BAU2050</c:v>
                  </c:pt>
                </c:lvl>
                <c:lvl>
                  <c:pt idx="0">
                    <c:v>VE</c:v>
                  </c:pt>
                  <c:pt idx="1">
                    <c:v>VE</c:v>
                  </c:pt>
                  <c:pt idx="2">
                    <c:v>VE</c:v>
                  </c:pt>
                  <c:pt idx="3">
                    <c:v>Fossil</c:v>
                  </c:pt>
                  <c:pt idx="4">
                    <c:v>Fossil</c:v>
                  </c:pt>
                  <c:pt idx="5">
                    <c:v>Fossil</c:v>
                  </c:pt>
                </c:lvl>
              </c:multiLvlStrCache>
            </c:multiLvlStrRef>
          </c:cat>
          <c:val>
            <c:numRef>
              <c:extLst>
                <c:ext xmlns:c15="http://schemas.microsoft.com/office/drawing/2012/chart" uri="{02D57815-91ED-43cb-92C2-25804820EDAC}">
                  <c15:fullRef>
                    <c15:sqref>Grafer!$F$309:$T$309</c15:sqref>
                  </c15:fullRef>
                </c:ext>
              </c:extLst>
              <c:f>Grafer!$F$309:$K$309</c:f>
              <c:numCache>
                <c:formatCode>#,##0</c:formatCode>
                <c:ptCount val="6"/>
                <c:pt idx="0">
                  <c:v>1251.5999999999999</c:v>
                </c:pt>
                <c:pt idx="1">
                  <c:v>2390.6</c:v>
                </c:pt>
                <c:pt idx="2">
                  <c:v>2390.6</c:v>
                </c:pt>
                <c:pt idx="3">
                  <c:v>0</c:v>
                </c:pt>
                <c:pt idx="4">
                  <c:v>0</c:v>
                </c:pt>
                <c:pt idx="5">
                  <c:v>0</c:v>
                </c:pt>
              </c:numCache>
            </c:numRef>
          </c:val>
          <c:extLst xmlns:c16r2="http://schemas.microsoft.com/office/drawing/2015/06/chart">
            <c:ext xmlns:c16="http://schemas.microsoft.com/office/drawing/2014/chart" uri="{C3380CC4-5D6E-409C-BE32-E72D297353CC}">
              <c16:uniqueId val="{00000004-0908-45CB-80C8-77F5885B9ACC}"/>
            </c:ext>
          </c:extLst>
        </c:ser>
        <c:ser>
          <c:idx val="5"/>
          <c:order val="5"/>
          <c:tx>
            <c:strRef>
              <c:f>Grafer!$B$310</c:f>
              <c:strCache>
                <c:ptCount val="1"/>
                <c:pt idx="0">
                  <c:v>El-import</c:v>
                </c:pt>
              </c:strCache>
            </c:strRef>
          </c:tx>
          <c:invertIfNegative val="0"/>
          <c:cat>
            <c:multiLvlStrRef>
              <c:extLst>
                <c:ext xmlns:c15="http://schemas.microsoft.com/office/drawing/2012/chart" uri="{02D57815-91ED-43cb-92C2-25804820EDAC}">
                  <c15:fullRef>
                    <c15:sqref>Grafer!$F$303:$AM$304</c15:sqref>
                  </c15:fullRef>
                </c:ext>
              </c:extLst>
              <c:f>Grafer!$F$303:$AM$304</c:f>
              <c:multiLvlStrCache>
                <c:ptCount val="6"/>
                <c:lvl>
                  <c:pt idx="0">
                    <c:v>2018</c:v>
                  </c:pt>
                  <c:pt idx="1">
                    <c:v>BAU2030</c:v>
                  </c:pt>
                  <c:pt idx="2">
                    <c:v>BAU2050</c:v>
                  </c:pt>
                  <c:pt idx="3">
                    <c:v>2018</c:v>
                  </c:pt>
                  <c:pt idx="4">
                    <c:v>BAU2030</c:v>
                  </c:pt>
                  <c:pt idx="5">
                    <c:v>BAU2050</c:v>
                  </c:pt>
                </c:lvl>
                <c:lvl>
                  <c:pt idx="0">
                    <c:v>VE</c:v>
                  </c:pt>
                  <c:pt idx="1">
                    <c:v>VE</c:v>
                  </c:pt>
                  <c:pt idx="2">
                    <c:v>VE</c:v>
                  </c:pt>
                  <c:pt idx="3">
                    <c:v>Fossil</c:v>
                  </c:pt>
                  <c:pt idx="4">
                    <c:v>Fossil</c:v>
                  </c:pt>
                  <c:pt idx="5">
                    <c:v>Fossil</c:v>
                  </c:pt>
                </c:lvl>
              </c:multiLvlStrCache>
            </c:multiLvlStrRef>
          </c:cat>
          <c:val>
            <c:numRef>
              <c:extLst>
                <c:ext xmlns:c15="http://schemas.microsoft.com/office/drawing/2012/chart" uri="{02D57815-91ED-43cb-92C2-25804820EDAC}">
                  <c15:fullRef>
                    <c15:sqref>Grafer!$F$310:$T$310</c15:sqref>
                  </c15:fullRef>
                </c:ext>
              </c:extLst>
              <c:f>Grafer!$F$310:$K$310</c:f>
              <c:numCache>
                <c:formatCode>#,##0</c:formatCode>
                <c:ptCount val="6"/>
                <c:pt idx="0">
                  <c:v>-57.61743856890056</c:v>
                </c:pt>
                <c:pt idx="1">
                  <c:v>-988.62884322060302</c:v>
                </c:pt>
                <c:pt idx="2">
                  <c:v>-474.44595351550436</c:v>
                </c:pt>
                <c:pt idx="3">
                  <c:v>-73.331285451328</c:v>
                </c:pt>
                <c:pt idx="4">
                  <c:v>0</c:v>
                </c:pt>
                <c:pt idx="5">
                  <c:v>0</c:v>
                </c:pt>
              </c:numCache>
            </c:numRef>
          </c:val>
          <c:extLst xmlns:c16r2="http://schemas.microsoft.com/office/drawing/2015/06/chart">
            <c:ext xmlns:c16="http://schemas.microsoft.com/office/drawing/2014/chart" uri="{C3380CC4-5D6E-409C-BE32-E72D297353CC}">
              <c16:uniqueId val="{00000005-0908-45CB-80C8-77F5885B9ACC}"/>
            </c:ext>
          </c:extLst>
        </c:ser>
        <c:dLbls>
          <c:showLegendKey val="0"/>
          <c:showVal val="0"/>
          <c:showCatName val="0"/>
          <c:showSerName val="0"/>
          <c:showPercent val="0"/>
          <c:showBubbleSize val="0"/>
        </c:dLbls>
        <c:gapWidth val="150"/>
        <c:overlap val="100"/>
        <c:axId val="316633632"/>
        <c:axId val="316642648"/>
      </c:barChart>
      <c:catAx>
        <c:axId val="316633632"/>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Calibri"/>
                <a:ea typeface="Calibri"/>
                <a:cs typeface="Calibri"/>
              </a:defRPr>
            </a:pPr>
            <a:endParaRPr lang="da-DK"/>
          </a:p>
        </c:txPr>
        <c:crossAx val="316642648"/>
        <c:crosses val="autoZero"/>
        <c:auto val="1"/>
        <c:lblAlgn val="ctr"/>
        <c:lblOffset val="100"/>
        <c:noMultiLvlLbl val="0"/>
      </c:catAx>
      <c:valAx>
        <c:axId val="31664264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 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363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38972932109694"/>
          <c:y val="3.465346534653465E-2"/>
          <c:w val="0.61922902337411956"/>
          <c:h val="0.85396039603960394"/>
        </c:manualLayout>
      </c:layout>
      <c:barChart>
        <c:barDir val="col"/>
        <c:grouping val="stacked"/>
        <c:varyColors val="0"/>
        <c:ser>
          <c:idx val="0"/>
          <c:order val="0"/>
          <c:tx>
            <c:strRef>
              <c:f>Grafer!$B$643</c:f>
              <c:strCache>
                <c:ptCount val="1"/>
                <c:pt idx="0">
                  <c:v>Individuel opvarmning</c:v>
                </c:pt>
              </c:strCache>
            </c:strRef>
          </c:tx>
          <c:invertIfNegative val="0"/>
          <c:cat>
            <c:strRef>
              <c:f>Grafer!$C$642:$E$642</c:f>
              <c:strCache>
                <c:ptCount val="3"/>
                <c:pt idx="0">
                  <c:v>2018</c:v>
                </c:pt>
                <c:pt idx="1">
                  <c:v>BAU2030</c:v>
                </c:pt>
                <c:pt idx="2">
                  <c:v>BAU2050</c:v>
                </c:pt>
              </c:strCache>
            </c:strRef>
          </c:cat>
          <c:val>
            <c:numRef>
              <c:f>Grafer!$C$643:$E$643</c:f>
              <c:numCache>
                <c:formatCode>#,##0</c:formatCode>
                <c:ptCount val="3"/>
                <c:pt idx="0">
                  <c:v>31.159299999999998</c:v>
                </c:pt>
                <c:pt idx="1">
                  <c:v>18.755078399999999</c:v>
                </c:pt>
                <c:pt idx="2">
                  <c:v>15.64992</c:v>
                </c:pt>
              </c:numCache>
            </c:numRef>
          </c:val>
          <c:extLst xmlns:c16r2="http://schemas.microsoft.com/office/drawing/2015/06/chart">
            <c:ext xmlns:c16="http://schemas.microsoft.com/office/drawing/2014/chart" uri="{C3380CC4-5D6E-409C-BE32-E72D297353CC}">
              <c16:uniqueId val="{00000000-E124-455E-B00C-BDB19BBFD963}"/>
            </c:ext>
          </c:extLst>
        </c:ser>
        <c:ser>
          <c:idx val="1"/>
          <c:order val="1"/>
          <c:tx>
            <c:strRef>
              <c:f>Grafer!$B$644</c:f>
              <c:strCache>
                <c:ptCount val="1"/>
                <c:pt idx="0">
                  <c:v>Kollektiv el- og varmeforsyning</c:v>
                </c:pt>
              </c:strCache>
            </c:strRef>
          </c:tx>
          <c:invertIfNegative val="0"/>
          <c:cat>
            <c:strRef>
              <c:f>Grafer!$C$642:$E$642</c:f>
              <c:strCache>
                <c:ptCount val="3"/>
                <c:pt idx="0">
                  <c:v>2018</c:v>
                </c:pt>
                <c:pt idx="1">
                  <c:v>BAU2030</c:v>
                </c:pt>
                <c:pt idx="2">
                  <c:v>BAU2050</c:v>
                </c:pt>
              </c:strCache>
            </c:strRef>
          </c:cat>
          <c:val>
            <c:numRef>
              <c:f>Grafer!$C$644:$E$644</c:f>
              <c:numCache>
                <c:formatCode>#,##0</c:formatCode>
                <c:ptCount val="3"/>
                <c:pt idx="0">
                  <c:v>12.205934999999998</c:v>
                </c:pt>
                <c:pt idx="1">
                  <c:v>5.8416998399999995</c:v>
                </c:pt>
                <c:pt idx="2">
                  <c:v>5.5004481000000007</c:v>
                </c:pt>
              </c:numCache>
            </c:numRef>
          </c:val>
          <c:extLst xmlns:c16r2="http://schemas.microsoft.com/office/drawing/2015/06/chart">
            <c:ext xmlns:c16="http://schemas.microsoft.com/office/drawing/2014/chart" uri="{C3380CC4-5D6E-409C-BE32-E72D297353CC}">
              <c16:uniqueId val="{00000001-E124-455E-B00C-BDB19BBFD963}"/>
            </c:ext>
          </c:extLst>
        </c:ser>
        <c:ser>
          <c:idx val="2"/>
          <c:order val="2"/>
          <c:tx>
            <c:strRef>
              <c:f>Grafer!$B$645</c:f>
              <c:strCache>
                <c:ptCount val="1"/>
                <c:pt idx="0">
                  <c:v>Industri</c:v>
                </c:pt>
              </c:strCache>
            </c:strRef>
          </c:tx>
          <c:invertIfNegative val="0"/>
          <c:cat>
            <c:strRef>
              <c:f>Grafer!$C$642:$E$642</c:f>
              <c:strCache>
                <c:ptCount val="3"/>
                <c:pt idx="0">
                  <c:v>2018</c:v>
                </c:pt>
                <c:pt idx="1">
                  <c:v>BAU2030</c:v>
                </c:pt>
                <c:pt idx="2">
                  <c:v>BAU2050</c:v>
                </c:pt>
              </c:strCache>
            </c:strRef>
          </c:cat>
          <c:val>
            <c:numRef>
              <c:f>Grafer!$C$645:$E$645</c:f>
              <c:numCache>
                <c:formatCode>#,##0</c:formatCode>
                <c:ptCount val="3"/>
                <c:pt idx="0">
                  <c:v>44.493400000000001</c:v>
                </c:pt>
                <c:pt idx="1">
                  <c:v>44.493400000000001</c:v>
                </c:pt>
                <c:pt idx="2">
                  <c:v>44.493400000000001</c:v>
                </c:pt>
              </c:numCache>
            </c:numRef>
          </c:val>
          <c:extLst xmlns:c16r2="http://schemas.microsoft.com/office/drawing/2015/06/chart">
            <c:ext xmlns:c16="http://schemas.microsoft.com/office/drawing/2014/chart" uri="{C3380CC4-5D6E-409C-BE32-E72D297353CC}">
              <c16:uniqueId val="{00000002-E124-455E-B00C-BDB19BBFD963}"/>
            </c:ext>
          </c:extLst>
        </c:ser>
        <c:ser>
          <c:idx val="3"/>
          <c:order val="3"/>
          <c:tx>
            <c:strRef>
              <c:f>Grafer!$B$646</c:f>
              <c:strCache>
                <c:ptCount val="1"/>
                <c:pt idx="0">
                  <c:v>Transport</c:v>
                </c:pt>
              </c:strCache>
            </c:strRef>
          </c:tx>
          <c:invertIfNegative val="0"/>
          <c:cat>
            <c:strRef>
              <c:f>Grafer!$C$642:$E$642</c:f>
              <c:strCache>
                <c:ptCount val="3"/>
                <c:pt idx="0">
                  <c:v>2018</c:v>
                </c:pt>
                <c:pt idx="1">
                  <c:v>BAU2030</c:v>
                </c:pt>
                <c:pt idx="2">
                  <c:v>BAU2050</c:v>
                </c:pt>
              </c:strCache>
            </c:strRef>
          </c:cat>
          <c:val>
            <c:numRef>
              <c:f>Grafer!$C$646:$E$646</c:f>
              <c:numCache>
                <c:formatCode>#,##0</c:formatCode>
                <c:ptCount val="3"/>
                <c:pt idx="0">
                  <c:v>264.93598910000003</c:v>
                </c:pt>
                <c:pt idx="1">
                  <c:v>235.53322944900003</c:v>
                </c:pt>
                <c:pt idx="2">
                  <c:v>155.97907681999999</c:v>
                </c:pt>
              </c:numCache>
            </c:numRef>
          </c:val>
          <c:extLst xmlns:c16r2="http://schemas.microsoft.com/office/drawing/2015/06/chart">
            <c:ext xmlns:c16="http://schemas.microsoft.com/office/drawing/2014/chart" uri="{C3380CC4-5D6E-409C-BE32-E72D297353CC}">
              <c16:uniqueId val="{00000003-E124-455E-B00C-BDB19BBFD963}"/>
            </c:ext>
          </c:extLst>
        </c:ser>
        <c:ser>
          <c:idx val="4"/>
          <c:order val="4"/>
          <c:tx>
            <c:strRef>
              <c:f>Grafer!$B$647</c:f>
              <c:strCache>
                <c:ptCount val="1"/>
                <c:pt idx="0">
                  <c:v>Vindkraft mm.</c:v>
                </c:pt>
              </c:strCache>
            </c:strRef>
          </c:tx>
          <c:invertIfNegative val="0"/>
          <c:cat>
            <c:strRef>
              <c:f>Grafer!$C$642:$E$642</c:f>
              <c:strCache>
                <c:ptCount val="3"/>
                <c:pt idx="0">
                  <c:v>2018</c:v>
                </c:pt>
                <c:pt idx="1">
                  <c:v>BAU2030</c:v>
                </c:pt>
                <c:pt idx="2">
                  <c:v>BAU2050</c:v>
                </c:pt>
              </c:strCache>
            </c:strRef>
          </c:cat>
          <c:val>
            <c:numRef>
              <c:f>Grafer!$C$647:$E$647</c:f>
              <c:numCache>
                <c:formatCode>#,##0</c:formatCode>
                <c:ptCount val="3"/>
              </c:numCache>
            </c:numRef>
          </c:val>
          <c:extLst xmlns:c16r2="http://schemas.microsoft.com/office/drawing/2015/06/chart">
            <c:ext xmlns:c16="http://schemas.microsoft.com/office/drawing/2014/chart" uri="{C3380CC4-5D6E-409C-BE32-E72D297353CC}">
              <c16:uniqueId val="{00000004-E124-455E-B00C-BDB19BBFD963}"/>
            </c:ext>
          </c:extLst>
        </c:ser>
        <c:ser>
          <c:idx val="5"/>
          <c:order val="5"/>
          <c:tx>
            <c:strRef>
              <c:f>Grafer!$B$648</c:f>
              <c:strCache>
                <c:ptCount val="1"/>
                <c:pt idx="0">
                  <c:v>El-import</c:v>
                </c:pt>
              </c:strCache>
            </c:strRef>
          </c:tx>
          <c:invertIfNegative val="0"/>
          <c:cat>
            <c:strRef>
              <c:f>Grafer!$C$642:$E$642</c:f>
              <c:strCache>
                <c:ptCount val="3"/>
                <c:pt idx="0">
                  <c:v>2018</c:v>
                </c:pt>
                <c:pt idx="1">
                  <c:v>BAU2030</c:v>
                </c:pt>
                <c:pt idx="2">
                  <c:v>BAU2050</c:v>
                </c:pt>
              </c:strCache>
            </c:strRef>
          </c:cat>
          <c:val>
            <c:numRef>
              <c:f>Grafer!$C$648:$E$648</c:f>
              <c:numCache>
                <c:formatCode>#,##0</c:formatCode>
                <c:ptCount val="3"/>
                <c:pt idx="0">
                  <c:v>-16.253355625390768</c:v>
                </c:pt>
                <c:pt idx="1">
                  <c:v>0</c:v>
                </c:pt>
                <c:pt idx="2">
                  <c:v>0</c:v>
                </c:pt>
              </c:numCache>
            </c:numRef>
          </c:val>
          <c:extLst xmlns:c16r2="http://schemas.microsoft.com/office/drawing/2015/06/chart">
            <c:ext xmlns:c16="http://schemas.microsoft.com/office/drawing/2014/chart" uri="{C3380CC4-5D6E-409C-BE32-E72D297353CC}">
              <c16:uniqueId val="{00000005-E124-455E-B00C-BDB19BBFD963}"/>
            </c:ext>
          </c:extLst>
        </c:ser>
        <c:dLbls>
          <c:showLegendKey val="0"/>
          <c:showVal val="0"/>
          <c:showCatName val="0"/>
          <c:showSerName val="0"/>
          <c:showPercent val="0"/>
          <c:showBubbleSize val="0"/>
        </c:dLbls>
        <c:gapWidth val="150"/>
        <c:overlap val="100"/>
        <c:axId val="316633240"/>
        <c:axId val="316636768"/>
      </c:barChart>
      <c:catAx>
        <c:axId val="3166332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6768"/>
        <c:crosses val="autoZero"/>
        <c:auto val="1"/>
        <c:lblAlgn val="ctr"/>
        <c:lblOffset val="100"/>
        <c:noMultiLvlLbl val="0"/>
      </c:catAx>
      <c:valAx>
        <c:axId val="316636768"/>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1.000 tons/ år</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3240"/>
        <c:crosses val="autoZero"/>
        <c:crossBetween val="between"/>
      </c:valAx>
    </c:plotArea>
    <c:legend>
      <c:legendPos val="r"/>
      <c:legendEntry>
        <c:idx val="1"/>
        <c:delete val="1"/>
      </c:legendEntry>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99" l="0.70000000000000062" r="0.70000000000000062" t="0.750000000000011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36388888888889"/>
          <c:y val="3.465346534653465E-2"/>
          <c:w val="0.71892305555555891"/>
          <c:h val="0.85396039603960394"/>
        </c:manualLayout>
      </c:layout>
      <c:barChart>
        <c:barDir val="col"/>
        <c:grouping val="stacked"/>
        <c:varyColors val="0"/>
        <c:ser>
          <c:idx val="0"/>
          <c:order val="0"/>
          <c:tx>
            <c:strRef>
              <c:f>Grafer!$B$450</c:f>
              <c:strCache>
                <c:ptCount val="1"/>
                <c:pt idx="0">
                  <c:v>Benzinbiler</c:v>
                </c:pt>
              </c:strCache>
            </c:strRef>
          </c:tx>
          <c:invertIfNegative val="0"/>
          <c:cat>
            <c:strRef>
              <c:f>Grafer!$C$449:$E$449</c:f>
              <c:strCache>
                <c:ptCount val="3"/>
                <c:pt idx="0">
                  <c:v>2018</c:v>
                </c:pt>
                <c:pt idx="1">
                  <c:v>BAU2030</c:v>
                </c:pt>
                <c:pt idx="2">
                  <c:v>BAU2050</c:v>
                </c:pt>
              </c:strCache>
            </c:strRef>
          </c:cat>
          <c:val>
            <c:numRef>
              <c:f>Grafer!$C$450:$E$450</c:f>
              <c:numCache>
                <c:formatCode>#,##0</c:formatCode>
                <c:ptCount val="3"/>
                <c:pt idx="0">
                  <c:v>1027.7</c:v>
                </c:pt>
                <c:pt idx="1">
                  <c:v>811.88300000000004</c:v>
                </c:pt>
                <c:pt idx="2">
                  <c:v>205.54</c:v>
                </c:pt>
              </c:numCache>
            </c:numRef>
          </c:val>
          <c:extLst xmlns:c16r2="http://schemas.microsoft.com/office/drawing/2015/06/chart">
            <c:ext xmlns:c16="http://schemas.microsoft.com/office/drawing/2014/chart" uri="{C3380CC4-5D6E-409C-BE32-E72D297353CC}">
              <c16:uniqueId val="{00000000-DA13-484A-92F8-4E6D421C3314}"/>
            </c:ext>
          </c:extLst>
        </c:ser>
        <c:ser>
          <c:idx val="1"/>
          <c:order val="1"/>
          <c:tx>
            <c:strRef>
              <c:f>Grafer!$B$451</c:f>
              <c:strCache>
                <c:ptCount val="1"/>
                <c:pt idx="0">
                  <c:v>Dieselbiler</c:v>
                </c:pt>
              </c:strCache>
            </c:strRef>
          </c:tx>
          <c:invertIfNegative val="0"/>
          <c:cat>
            <c:strRef>
              <c:f>Grafer!$C$449:$E$449</c:f>
              <c:strCache>
                <c:ptCount val="3"/>
                <c:pt idx="0">
                  <c:v>2018</c:v>
                </c:pt>
                <c:pt idx="1">
                  <c:v>BAU2030</c:v>
                </c:pt>
                <c:pt idx="2">
                  <c:v>BAU2050</c:v>
                </c:pt>
              </c:strCache>
            </c:strRef>
          </c:cat>
          <c:val>
            <c:numRef>
              <c:f>Grafer!$C$451:$E$451</c:f>
              <c:numCache>
                <c:formatCode>#,##0</c:formatCode>
                <c:ptCount val="3"/>
                <c:pt idx="0">
                  <c:v>813.10000000000014</c:v>
                </c:pt>
                <c:pt idx="1">
                  <c:v>642.34900000000005</c:v>
                </c:pt>
                <c:pt idx="2">
                  <c:v>162.62000000000003</c:v>
                </c:pt>
              </c:numCache>
            </c:numRef>
          </c:val>
          <c:extLst xmlns:c16r2="http://schemas.microsoft.com/office/drawing/2015/06/chart">
            <c:ext xmlns:c16="http://schemas.microsoft.com/office/drawing/2014/chart" uri="{C3380CC4-5D6E-409C-BE32-E72D297353CC}">
              <c16:uniqueId val="{00000001-DA13-484A-92F8-4E6D421C3314}"/>
            </c:ext>
          </c:extLst>
        </c:ser>
        <c:ser>
          <c:idx val="3"/>
          <c:order val="2"/>
          <c:tx>
            <c:strRef>
              <c:f>Grafer!$B$452</c:f>
              <c:strCache>
                <c:ptCount val="1"/>
                <c:pt idx="0">
                  <c:v>Varebiler</c:v>
                </c:pt>
              </c:strCache>
            </c:strRef>
          </c:tx>
          <c:invertIfNegative val="0"/>
          <c:cat>
            <c:strRef>
              <c:f>Grafer!$C$449:$E$449</c:f>
              <c:strCache>
                <c:ptCount val="3"/>
                <c:pt idx="0">
                  <c:v>2018</c:v>
                </c:pt>
                <c:pt idx="1">
                  <c:v>BAU2030</c:v>
                </c:pt>
                <c:pt idx="2">
                  <c:v>BAU2050</c:v>
                </c:pt>
              </c:strCache>
            </c:strRef>
          </c:cat>
          <c:val>
            <c:numRef>
              <c:f>Grafer!$C$452:$E$452</c:f>
              <c:numCache>
                <c:formatCode>#,##0</c:formatCode>
                <c:ptCount val="3"/>
                <c:pt idx="0">
                  <c:v>327</c:v>
                </c:pt>
                <c:pt idx="1">
                  <c:v>258.33</c:v>
                </c:pt>
                <c:pt idx="2">
                  <c:v>65.400000000000006</c:v>
                </c:pt>
              </c:numCache>
            </c:numRef>
          </c:val>
          <c:extLst xmlns:c16r2="http://schemas.microsoft.com/office/drawing/2015/06/chart">
            <c:ext xmlns:c16="http://schemas.microsoft.com/office/drawing/2014/chart" uri="{C3380CC4-5D6E-409C-BE32-E72D297353CC}">
              <c16:uniqueId val="{00000002-DA13-484A-92F8-4E6D421C3314}"/>
            </c:ext>
          </c:extLst>
        </c:ser>
        <c:ser>
          <c:idx val="2"/>
          <c:order val="3"/>
          <c:tx>
            <c:strRef>
              <c:f>Grafer!$B$453</c:f>
              <c:strCache>
                <c:ptCount val="1"/>
                <c:pt idx="0">
                  <c:v>Busser</c:v>
                </c:pt>
              </c:strCache>
            </c:strRef>
          </c:tx>
          <c:invertIfNegative val="0"/>
          <c:cat>
            <c:strRef>
              <c:f>Grafer!$C$449:$E$449</c:f>
              <c:strCache>
                <c:ptCount val="3"/>
                <c:pt idx="0">
                  <c:v>2018</c:v>
                </c:pt>
                <c:pt idx="1">
                  <c:v>BAU2030</c:v>
                </c:pt>
                <c:pt idx="2">
                  <c:v>BAU2050</c:v>
                </c:pt>
              </c:strCache>
            </c:strRef>
          </c:cat>
          <c:val>
            <c:numRef>
              <c:f>Grafer!$C$453:$E$453</c:f>
              <c:numCache>
                <c:formatCode>#,##0</c:formatCode>
                <c:ptCount val="3"/>
                <c:pt idx="0">
                  <c:v>112.7</c:v>
                </c:pt>
                <c:pt idx="1">
                  <c:v>119.46200000000002</c:v>
                </c:pt>
                <c:pt idx="2">
                  <c:v>135.24</c:v>
                </c:pt>
              </c:numCache>
            </c:numRef>
          </c:val>
          <c:extLst xmlns:c16r2="http://schemas.microsoft.com/office/drawing/2015/06/chart">
            <c:ext xmlns:c16="http://schemas.microsoft.com/office/drawing/2014/chart" uri="{C3380CC4-5D6E-409C-BE32-E72D297353CC}">
              <c16:uniqueId val="{00000003-DA13-484A-92F8-4E6D421C3314}"/>
            </c:ext>
          </c:extLst>
        </c:ser>
        <c:ser>
          <c:idx val="4"/>
          <c:order val="4"/>
          <c:tx>
            <c:strRef>
              <c:f>Grafer!$B$454</c:f>
              <c:strCache>
                <c:ptCount val="1"/>
                <c:pt idx="0">
                  <c:v>Lastbiler m.m.</c:v>
                </c:pt>
              </c:strCache>
            </c:strRef>
          </c:tx>
          <c:invertIfNegative val="0"/>
          <c:cat>
            <c:strRef>
              <c:f>Grafer!$C$449:$E$449</c:f>
              <c:strCache>
                <c:ptCount val="3"/>
                <c:pt idx="0">
                  <c:v>2018</c:v>
                </c:pt>
                <c:pt idx="1">
                  <c:v>BAU2030</c:v>
                </c:pt>
                <c:pt idx="2">
                  <c:v>BAU2050</c:v>
                </c:pt>
              </c:strCache>
            </c:strRef>
          </c:cat>
          <c:val>
            <c:numRef>
              <c:f>Grafer!$C$454:$E$454</c:f>
              <c:numCache>
                <c:formatCode>#,##0</c:formatCode>
                <c:ptCount val="3"/>
                <c:pt idx="0">
                  <c:v>280.3</c:v>
                </c:pt>
                <c:pt idx="1">
                  <c:v>295.99119400000006</c:v>
                </c:pt>
                <c:pt idx="2">
                  <c:v>336.36</c:v>
                </c:pt>
              </c:numCache>
            </c:numRef>
          </c:val>
          <c:extLst xmlns:c16r2="http://schemas.microsoft.com/office/drawing/2015/06/chart">
            <c:ext xmlns:c16="http://schemas.microsoft.com/office/drawing/2014/chart" uri="{C3380CC4-5D6E-409C-BE32-E72D297353CC}">
              <c16:uniqueId val="{00000004-DA13-484A-92F8-4E6D421C3314}"/>
            </c:ext>
          </c:extLst>
        </c:ser>
        <c:ser>
          <c:idx val="5"/>
          <c:order val="5"/>
          <c:tx>
            <c:strRef>
              <c:f>Grafer!$B$455</c:f>
              <c:strCache>
                <c:ptCount val="1"/>
                <c:pt idx="0">
                  <c:v>Traktorer</c:v>
                </c:pt>
              </c:strCache>
            </c:strRef>
          </c:tx>
          <c:invertIfNegative val="0"/>
          <c:cat>
            <c:strRef>
              <c:f>Grafer!$C$449:$E$449</c:f>
              <c:strCache>
                <c:ptCount val="3"/>
                <c:pt idx="0">
                  <c:v>2018</c:v>
                </c:pt>
                <c:pt idx="1">
                  <c:v>BAU2030</c:v>
                </c:pt>
                <c:pt idx="2">
                  <c:v>BAU2050</c:v>
                </c:pt>
              </c:strCache>
            </c:strRef>
          </c:cat>
          <c:val>
            <c:numRef>
              <c:f>Grafer!$C$455:$E$455</c:f>
              <c:numCache>
                <c:formatCode>#,##0</c:formatCode>
                <c:ptCount val="3"/>
                <c:pt idx="0">
                  <c:v>266.8</c:v>
                </c:pt>
                <c:pt idx="1">
                  <c:v>266.8</c:v>
                </c:pt>
                <c:pt idx="2">
                  <c:v>266.8</c:v>
                </c:pt>
              </c:numCache>
            </c:numRef>
          </c:val>
          <c:extLst xmlns:c16r2="http://schemas.microsoft.com/office/drawing/2015/06/chart">
            <c:ext xmlns:c16="http://schemas.microsoft.com/office/drawing/2014/chart" uri="{C3380CC4-5D6E-409C-BE32-E72D297353CC}">
              <c16:uniqueId val="{00000005-DA13-484A-92F8-4E6D421C3314}"/>
            </c:ext>
          </c:extLst>
        </c:ser>
        <c:ser>
          <c:idx val="6"/>
          <c:order val="6"/>
          <c:tx>
            <c:strRef>
              <c:f>Grafer!$B$456</c:f>
              <c:strCache>
                <c:ptCount val="1"/>
                <c:pt idx="0">
                  <c:v>Tog</c:v>
                </c:pt>
              </c:strCache>
            </c:strRef>
          </c:tx>
          <c:invertIfNegative val="0"/>
          <c:cat>
            <c:strRef>
              <c:f>Grafer!$C$449:$E$449</c:f>
              <c:strCache>
                <c:ptCount val="3"/>
                <c:pt idx="0">
                  <c:v>2018</c:v>
                </c:pt>
                <c:pt idx="1">
                  <c:v>BAU2030</c:v>
                </c:pt>
                <c:pt idx="2">
                  <c:v>BAU2050</c:v>
                </c:pt>
              </c:strCache>
            </c:strRef>
          </c:cat>
          <c:val>
            <c:numRef>
              <c:f>Grafer!$C$456:$E$456</c:f>
              <c:numCache>
                <c:formatCode>#,##0</c:formatCode>
                <c:ptCount val="3"/>
                <c:pt idx="0">
                  <c:v>51.5</c:v>
                </c:pt>
                <c:pt idx="1">
                  <c:v>15.45</c:v>
                </c:pt>
                <c:pt idx="2">
                  <c:v>0</c:v>
                </c:pt>
              </c:numCache>
            </c:numRef>
          </c:val>
          <c:extLst xmlns:c16r2="http://schemas.microsoft.com/office/drawing/2015/06/chart">
            <c:ext xmlns:c16="http://schemas.microsoft.com/office/drawing/2014/chart" uri="{C3380CC4-5D6E-409C-BE32-E72D297353CC}">
              <c16:uniqueId val="{00000006-DA13-484A-92F8-4E6D421C3314}"/>
            </c:ext>
          </c:extLst>
        </c:ser>
        <c:ser>
          <c:idx val="7"/>
          <c:order val="7"/>
          <c:tx>
            <c:strRef>
              <c:f>Grafer!$B$457</c:f>
              <c:strCache>
                <c:ptCount val="1"/>
                <c:pt idx="0">
                  <c:v>Fly</c:v>
                </c:pt>
              </c:strCache>
            </c:strRef>
          </c:tx>
          <c:invertIfNegative val="0"/>
          <c:cat>
            <c:strRef>
              <c:f>Grafer!$C$449:$E$449</c:f>
              <c:strCache>
                <c:ptCount val="3"/>
                <c:pt idx="0">
                  <c:v>2018</c:v>
                </c:pt>
                <c:pt idx="1">
                  <c:v>BAU2030</c:v>
                </c:pt>
                <c:pt idx="2">
                  <c:v>BAU2050</c:v>
                </c:pt>
              </c:strCache>
            </c:strRef>
          </c:cat>
          <c:val>
            <c:numRef>
              <c:f>Grafer!$C$457:$E$457</c:f>
              <c:numCache>
                <c:formatCode>#,##0</c:formatCode>
                <c:ptCount val="3"/>
                <c:pt idx="0">
                  <c:v>761</c:v>
                </c:pt>
                <c:pt idx="1">
                  <c:v>814.2700000000001</c:v>
                </c:pt>
                <c:pt idx="2">
                  <c:v>913.2</c:v>
                </c:pt>
              </c:numCache>
            </c:numRef>
          </c:val>
          <c:extLst xmlns:c16r2="http://schemas.microsoft.com/office/drawing/2015/06/chart">
            <c:ext xmlns:c16="http://schemas.microsoft.com/office/drawing/2014/chart" uri="{C3380CC4-5D6E-409C-BE32-E72D297353CC}">
              <c16:uniqueId val="{00000007-DA13-484A-92F8-4E6D421C3314}"/>
            </c:ext>
          </c:extLst>
        </c:ser>
        <c:ser>
          <c:idx val="8"/>
          <c:order val="8"/>
          <c:tx>
            <c:strRef>
              <c:f>Grafer!$B$458</c:f>
              <c:strCache>
                <c:ptCount val="1"/>
                <c:pt idx="0">
                  <c:v>Skibe</c:v>
                </c:pt>
              </c:strCache>
            </c:strRef>
          </c:tx>
          <c:invertIfNegative val="0"/>
          <c:cat>
            <c:strRef>
              <c:f>Grafer!$C$449:$E$449</c:f>
              <c:strCache>
                <c:ptCount val="3"/>
                <c:pt idx="0">
                  <c:v>2018</c:v>
                </c:pt>
                <c:pt idx="1">
                  <c:v>BAU2030</c:v>
                </c:pt>
                <c:pt idx="2">
                  <c:v>BAU2050</c:v>
                </c:pt>
              </c:strCache>
            </c:strRef>
          </c:cat>
          <c:val>
            <c:numRef>
              <c:f>Grafer!$C$458:$E$458</c:f>
              <c:numCache>
                <c:formatCode>#,##0</c:formatCode>
                <c:ptCount val="3"/>
                <c:pt idx="0">
                  <c:v>108.69999999999999</c:v>
                </c:pt>
                <c:pt idx="1">
                  <c:v>103.26499999999999</c:v>
                </c:pt>
                <c:pt idx="2">
                  <c:v>103.26499999999999</c:v>
                </c:pt>
              </c:numCache>
            </c:numRef>
          </c:val>
          <c:extLst xmlns:c16r2="http://schemas.microsoft.com/office/drawing/2015/06/chart">
            <c:ext xmlns:c16="http://schemas.microsoft.com/office/drawing/2014/chart" uri="{C3380CC4-5D6E-409C-BE32-E72D297353CC}">
              <c16:uniqueId val="{00000008-DA13-484A-92F8-4E6D421C3314}"/>
            </c:ext>
          </c:extLst>
        </c:ser>
        <c:dLbls>
          <c:showLegendKey val="0"/>
          <c:showVal val="0"/>
          <c:showCatName val="0"/>
          <c:showSerName val="0"/>
          <c:showPercent val="0"/>
          <c:showBubbleSize val="0"/>
        </c:dLbls>
        <c:gapWidth val="150"/>
        <c:overlap val="100"/>
        <c:axId val="316643432"/>
        <c:axId val="316641080"/>
      </c:barChart>
      <c:catAx>
        <c:axId val="3166434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41080"/>
        <c:crosses val="autoZero"/>
        <c:auto val="1"/>
        <c:lblAlgn val="ctr"/>
        <c:lblOffset val="100"/>
        <c:noMultiLvlLbl val="0"/>
      </c:catAx>
      <c:valAx>
        <c:axId val="316641080"/>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43432"/>
        <c:crosses val="autoZero"/>
        <c:crossBetween val="between"/>
      </c:valAx>
    </c:plotArea>
    <c:legend>
      <c:legendPos val="r"/>
      <c:layout>
        <c:manualLayout>
          <c:xMode val="edge"/>
          <c:yMode val="edge"/>
          <c:x val="0.84950138888888893"/>
          <c:y val="0.21836563898338901"/>
          <c:w val="0.13991527777777873"/>
          <c:h val="0.56326872203322198"/>
        </c:manualLayout>
      </c:layout>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5543437399007"/>
          <c:y val="3.465346534653465E-2"/>
          <c:w val="0.63872486993150046"/>
          <c:h val="0.85396039603960394"/>
        </c:manualLayout>
      </c:layout>
      <c:barChart>
        <c:barDir val="col"/>
        <c:grouping val="stacked"/>
        <c:varyColors val="0"/>
        <c:ser>
          <c:idx val="1"/>
          <c:order val="0"/>
          <c:tx>
            <c:strRef>
              <c:f>Grafer!$B$61</c:f>
              <c:strCache>
                <c:ptCount val="1"/>
                <c:pt idx="0">
                  <c:v>VE% Global</c:v>
                </c:pt>
              </c:strCache>
            </c:strRef>
          </c:tx>
          <c:spPr>
            <a:solidFill>
              <a:schemeClr val="accent3"/>
            </a:solidFill>
          </c:spPr>
          <c:invertIfNegative val="0"/>
          <c:dLbls>
            <c:spPr>
              <a:noFill/>
              <a:ln>
                <a:noFill/>
              </a:ln>
              <a:effectLst/>
            </c:spPr>
            <c:txPr>
              <a:bodyPr/>
              <a:lstStyle/>
              <a:p>
                <a:pPr>
                  <a:defRPr b="1">
                    <a:solidFill>
                      <a:schemeClr val="bg1"/>
                    </a:solidFill>
                  </a:defRPr>
                </a:pPr>
                <a:endParaRPr lang="da-DK"/>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Grafer!$C$60:$G$60</c:f>
              <c:strCache>
                <c:ptCount val="5"/>
                <c:pt idx="0">
                  <c:v>2018</c:v>
                </c:pt>
                <c:pt idx="1">
                  <c:v>BAU2030</c:v>
                </c:pt>
                <c:pt idx="2">
                  <c:v>BAU2050</c:v>
                </c:pt>
                <c:pt idx="3">
                  <c:v>Mål 2030</c:v>
                </c:pt>
                <c:pt idx="4">
                  <c:v>Mål 2050</c:v>
                </c:pt>
              </c:strCache>
            </c:strRef>
          </c:cat>
          <c:val>
            <c:numRef>
              <c:f>Grafer!$C$61:$G$61</c:f>
              <c:numCache>
                <c:formatCode>_(* #,##0.0_);_(* \(#,##0.0\);_(* "-"??_);_(@_)</c:formatCode>
                <c:ptCount val="5"/>
                <c:pt idx="0">
                  <c:v>49.24766476933678</c:v>
                </c:pt>
                <c:pt idx="1">
                  <c:v>53.294607302499983</c:v>
                </c:pt>
                <c:pt idx="2">
                  <c:v>62.49792485328728</c:v>
                </c:pt>
                <c:pt idx="3">
                  <c:v>0</c:v>
                </c:pt>
                <c:pt idx="4">
                  <c:v>0</c:v>
                </c:pt>
              </c:numCache>
            </c:numRef>
          </c:val>
          <c:extLst xmlns:c16r2="http://schemas.microsoft.com/office/drawing/2015/06/chart">
            <c:ext xmlns:c16="http://schemas.microsoft.com/office/drawing/2014/chart" uri="{C3380CC4-5D6E-409C-BE32-E72D297353CC}">
              <c16:uniqueId val="{00000000-F23C-4B3C-8E91-F8FAA44951B5}"/>
            </c:ext>
          </c:extLst>
        </c:ser>
        <c:dLbls>
          <c:showLegendKey val="0"/>
          <c:showVal val="1"/>
          <c:showCatName val="0"/>
          <c:showSerName val="0"/>
          <c:showPercent val="0"/>
          <c:showBubbleSize val="0"/>
        </c:dLbls>
        <c:gapWidth val="150"/>
        <c:overlap val="100"/>
        <c:axId val="316640296"/>
        <c:axId val="316643824"/>
      </c:barChart>
      <c:catAx>
        <c:axId val="3166402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43824"/>
        <c:crosses val="autoZero"/>
        <c:auto val="1"/>
        <c:lblAlgn val="ctr"/>
        <c:lblOffset val="100"/>
        <c:noMultiLvlLbl val="0"/>
      </c:catAx>
      <c:valAx>
        <c:axId val="3166438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VE%</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40296"/>
        <c:crosses val="autoZero"/>
        <c:crossBetween val="between"/>
      </c:valAx>
    </c:plotArea>
    <c:legend>
      <c:legendPos val="r"/>
      <c:layout>
        <c:manualLayout>
          <c:xMode val="edge"/>
          <c:yMode val="edge"/>
          <c:x val="0.74404562542075536"/>
          <c:y val="0.38185831969024769"/>
          <c:w val="0.16746677558677248"/>
          <c:h val="0.11517268262259296"/>
        </c:manualLayout>
      </c:layout>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3027705061528"/>
          <c:y val="3.465346534653465E-2"/>
          <c:w val="0.64637145566444842"/>
          <c:h val="0.62072094017094015"/>
        </c:manualLayout>
      </c:layout>
      <c:barChart>
        <c:barDir val="col"/>
        <c:grouping val="stacked"/>
        <c:varyColors val="0"/>
        <c:ser>
          <c:idx val="2"/>
          <c:order val="0"/>
          <c:tx>
            <c:strRef>
              <c:f>Grafer!$B$860</c:f>
              <c:strCache>
                <c:ptCount val="1"/>
                <c:pt idx="0">
                  <c:v>Kul</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Grafer!$C$860:$K$860</c:f>
              <c:numCache>
                <c:formatCode>#,##0</c:formatCode>
                <c:ptCount val="9"/>
                <c:pt idx="5">
                  <c:v>0</c:v>
                </c:pt>
              </c:numCache>
            </c:numRef>
          </c:val>
          <c:extLst xmlns:c16r2="http://schemas.microsoft.com/office/drawing/2015/06/chart">
            <c:ext xmlns:c16="http://schemas.microsoft.com/office/drawing/2014/chart" uri="{C3380CC4-5D6E-409C-BE32-E72D297353CC}">
              <c16:uniqueId val="{00000000-47E4-488B-BB2A-D374AA27ED9B}"/>
            </c:ext>
          </c:extLst>
        </c:ser>
        <c:ser>
          <c:idx val="3"/>
          <c:order val="1"/>
          <c:tx>
            <c:strRef>
              <c:f>Grafer!$B$861</c:f>
              <c:strCache>
                <c:ptCount val="1"/>
                <c:pt idx="0">
                  <c:v>Naturgas og LPG</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Grafer!$C$861:$K$861</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1-47E4-488B-BB2A-D374AA27ED9B}"/>
            </c:ext>
          </c:extLst>
        </c:ser>
        <c:ser>
          <c:idx val="4"/>
          <c:order val="2"/>
          <c:tx>
            <c:strRef>
              <c:f>Grafer!$B$862</c:f>
              <c:strCache>
                <c:ptCount val="1"/>
                <c:pt idx="0">
                  <c:v>Fuelolie</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Grafer!$C$862:$K$862</c:f>
              <c:numCache>
                <c:formatCode>#,##0</c:formatCode>
                <c:ptCount val="9"/>
                <c:pt idx="5">
                  <c:v>0</c:v>
                </c:pt>
                <c:pt idx="8">
                  <c:v>0</c:v>
                </c:pt>
              </c:numCache>
            </c:numRef>
          </c:val>
          <c:extLst xmlns:c16r2="http://schemas.microsoft.com/office/drawing/2015/06/chart">
            <c:ext xmlns:c16="http://schemas.microsoft.com/office/drawing/2014/chart" uri="{C3380CC4-5D6E-409C-BE32-E72D297353CC}">
              <c16:uniqueId val="{00000002-47E4-488B-BB2A-D374AA27ED9B}"/>
            </c:ext>
          </c:extLst>
        </c:ser>
        <c:ser>
          <c:idx val="5"/>
          <c:order val="3"/>
          <c:tx>
            <c:strRef>
              <c:f>Grafer!$B$863</c:f>
              <c:strCache>
                <c:ptCount val="1"/>
                <c:pt idx="0">
                  <c:v>Brændselsolie/diesel</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Grafer!$C$863:$K$863</c:f>
              <c:numCache>
                <c:formatCode>#,##0</c:formatCode>
                <c:ptCount val="9"/>
                <c:pt idx="0">
                  <c:v>0</c:v>
                </c:pt>
                <c:pt idx="5">
                  <c:v>0</c:v>
                </c:pt>
                <c:pt idx="7">
                  <c:v>0</c:v>
                </c:pt>
                <c:pt idx="8">
                  <c:v>0</c:v>
                </c:pt>
              </c:numCache>
            </c:numRef>
          </c:val>
          <c:extLst xmlns:c16r2="http://schemas.microsoft.com/office/drawing/2015/06/chart">
            <c:ext xmlns:c16="http://schemas.microsoft.com/office/drawing/2014/chart" uri="{C3380CC4-5D6E-409C-BE32-E72D297353CC}">
              <c16:uniqueId val="{00000003-47E4-488B-BB2A-D374AA27ED9B}"/>
            </c:ext>
          </c:extLst>
        </c:ser>
        <c:ser>
          <c:idx val="6"/>
          <c:order val="4"/>
          <c:tx>
            <c:strRef>
              <c:f>Grafer!$B$864</c:f>
              <c:strCache>
                <c:ptCount val="1"/>
                <c:pt idx="0">
                  <c:v>Benzin</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Grafer!$C$864:$K$864</c:f>
              <c:numCache>
                <c:formatCode>#,##0</c:formatCode>
                <c:ptCount val="9"/>
                <c:pt idx="5">
                  <c:v>0</c:v>
                </c:pt>
                <c:pt idx="8">
                  <c:v>0</c:v>
                </c:pt>
              </c:numCache>
            </c:numRef>
          </c:val>
          <c:extLst xmlns:c16r2="http://schemas.microsoft.com/office/drawing/2015/06/chart">
            <c:ext xmlns:c16="http://schemas.microsoft.com/office/drawing/2014/chart" uri="{C3380CC4-5D6E-409C-BE32-E72D297353CC}">
              <c16:uniqueId val="{00000004-47E4-488B-BB2A-D374AA27ED9B}"/>
            </c:ext>
          </c:extLst>
        </c:ser>
        <c:ser>
          <c:idx val="8"/>
          <c:order val="5"/>
          <c:tx>
            <c:strRef>
              <c:f>Grafer!$B$867</c:f>
              <c:strCache>
                <c:ptCount val="1"/>
                <c:pt idx="0">
                  <c:v>Biobrændstof</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Grafer!$C$867:$K$867</c:f>
              <c:numCache>
                <c:formatCode>#,##0</c:formatCode>
                <c:ptCount val="9"/>
                <c:pt idx="7">
                  <c:v>0</c:v>
                </c:pt>
                <c:pt idx="8">
                  <c:v>0</c:v>
                </c:pt>
              </c:numCache>
            </c:numRef>
          </c:val>
          <c:extLst xmlns:c16r2="http://schemas.microsoft.com/office/drawing/2015/06/chart">
            <c:ext xmlns:c16="http://schemas.microsoft.com/office/drawing/2014/chart" uri="{C3380CC4-5D6E-409C-BE32-E72D297353CC}">
              <c16:uniqueId val="{00000005-47E4-488B-BB2A-D374AA27ED9B}"/>
            </c:ext>
          </c:extLst>
        </c:ser>
        <c:ser>
          <c:idx val="7"/>
          <c:order val="6"/>
          <c:tx>
            <c:strRef>
              <c:f>Grafer!$B$866</c:f>
              <c:strCache>
                <c:ptCount val="1"/>
                <c:pt idx="0">
                  <c:v>Affald, ikke bionedbrydeligt</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Grafer!$C$866:$K$866</c:f>
              <c:numCache>
                <c:formatCode>#,##0</c:formatCode>
                <c:ptCount val="9"/>
                <c:pt idx="5">
                  <c:v>0</c:v>
                </c:pt>
              </c:numCache>
            </c:numRef>
          </c:val>
          <c:extLst xmlns:c16r2="http://schemas.microsoft.com/office/drawing/2015/06/chart">
            <c:ext xmlns:c16="http://schemas.microsoft.com/office/drawing/2014/chart" uri="{C3380CC4-5D6E-409C-BE32-E72D297353CC}">
              <c16:uniqueId val="{00000006-47E4-488B-BB2A-D374AA27ED9B}"/>
            </c:ext>
          </c:extLst>
        </c:ser>
        <c:ser>
          <c:idx val="9"/>
          <c:order val="7"/>
          <c:tx>
            <c:strRef>
              <c:f>Grafer!$B$868</c:f>
              <c:strCache>
                <c:ptCount val="1"/>
                <c:pt idx="0">
                  <c:v>Biomasse</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Grafer!$C$868:$K$868</c:f>
              <c:numCache>
                <c:formatCode>#,##0</c:formatCode>
                <c:ptCount val="9"/>
                <c:pt idx="0">
                  <c:v>0</c:v>
                </c:pt>
                <c:pt idx="5">
                  <c:v>0</c:v>
                </c:pt>
              </c:numCache>
            </c:numRef>
          </c:val>
          <c:extLst xmlns:c16r2="http://schemas.microsoft.com/office/drawing/2015/06/chart">
            <c:ext xmlns:c16="http://schemas.microsoft.com/office/drawing/2014/chart" uri="{C3380CC4-5D6E-409C-BE32-E72D297353CC}">
              <c16:uniqueId val="{00000007-47E4-488B-BB2A-D374AA27ED9B}"/>
            </c:ext>
          </c:extLst>
        </c:ser>
        <c:ser>
          <c:idx val="13"/>
          <c:order val="8"/>
          <c:tx>
            <c:strRef>
              <c:f>Grafer!$B$870</c:f>
              <c:strCache>
                <c:ptCount val="1"/>
                <c:pt idx="0">
                  <c:v>Procesvarme fra KV-produktion</c:v>
                </c:pt>
              </c:strCache>
            </c:strRef>
          </c:tx>
          <c:spPr>
            <a:solidFill>
              <a:schemeClr val="accent5">
                <a:lumMod val="40000"/>
                <a:lumOff val="60000"/>
              </a:schemeClr>
            </a:solidFill>
          </c:spPr>
          <c:invertIfNegative val="0"/>
          <c:val>
            <c:numRef>
              <c:f>Grafer!$C$870:$K$870</c:f>
              <c:numCache>
                <c:formatCode>#,##0</c:formatCode>
                <c:ptCount val="9"/>
                <c:pt idx="5">
                  <c:v>0</c:v>
                </c:pt>
              </c:numCache>
            </c:numRef>
          </c:val>
          <c:extLst xmlns:c16r2="http://schemas.microsoft.com/office/drawing/2015/06/chart">
            <c:ext xmlns:c16="http://schemas.microsoft.com/office/drawing/2014/chart" uri="{C3380CC4-5D6E-409C-BE32-E72D297353CC}">
              <c16:uniqueId val="{00000008-47E4-488B-BB2A-D374AA27ED9B}"/>
            </c:ext>
          </c:extLst>
        </c:ser>
        <c:ser>
          <c:idx val="10"/>
          <c:order val="9"/>
          <c:tx>
            <c:strRef>
              <c:f>Grafer!$B$869</c:f>
              <c:strCache>
                <c:ptCount val="1"/>
                <c:pt idx="0">
                  <c:v>Fjernvarme</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Grafer!$C$869:$K$869</c:f>
              <c:numCache>
                <c:formatCode>#,##0</c:formatCode>
                <c:ptCount val="9"/>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9-47E4-488B-BB2A-D374AA27ED9B}"/>
            </c:ext>
          </c:extLst>
        </c:ser>
        <c:ser>
          <c:idx val="11"/>
          <c:order val="10"/>
          <c:tx>
            <c:strRef>
              <c:f>Grafer!$B$871</c:f>
              <c:strCache>
                <c:ptCount val="1"/>
                <c:pt idx="0">
                  <c:v>Biogas</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Grafer!$C$871:$K$871</c:f>
              <c:numCache>
                <c:formatCode>#,##0</c:formatCode>
                <c:ptCount val="9"/>
                <c:pt idx="5">
                  <c:v>0</c:v>
                </c:pt>
              </c:numCache>
            </c:numRef>
          </c:val>
          <c:extLst xmlns:c16r2="http://schemas.microsoft.com/office/drawing/2015/06/chart">
            <c:ext xmlns:c16="http://schemas.microsoft.com/office/drawing/2014/chart" uri="{C3380CC4-5D6E-409C-BE32-E72D297353CC}">
              <c16:uniqueId val="{0000000A-47E4-488B-BB2A-D374AA27ED9B}"/>
            </c:ext>
          </c:extLst>
        </c:ser>
        <c:ser>
          <c:idx val="12"/>
          <c:order val="11"/>
          <c:tx>
            <c:strRef>
              <c:f>Grafer!$B$872</c:f>
              <c:strCache>
                <c:ptCount val="1"/>
                <c:pt idx="0">
                  <c:v>Solenergi og jordvarme</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Grafer!$C$872:$K$872</c:f>
              <c:numCache>
                <c:formatCode>#,##0</c:formatCode>
                <c:ptCount val="9"/>
                <c:pt idx="0">
                  <c:v>0</c:v>
                </c:pt>
              </c:numCache>
            </c:numRef>
          </c:val>
          <c:extLst xmlns:c16r2="http://schemas.microsoft.com/office/drawing/2015/06/chart">
            <c:ext xmlns:c16="http://schemas.microsoft.com/office/drawing/2014/chart" uri="{C3380CC4-5D6E-409C-BE32-E72D297353CC}">
              <c16:uniqueId val="{0000000B-47E4-488B-BB2A-D374AA27ED9B}"/>
            </c:ext>
          </c:extLst>
        </c:ser>
        <c:ser>
          <c:idx val="1"/>
          <c:order val="12"/>
          <c:tx>
            <c:strRef>
              <c:f>Grafer!$B$859</c:f>
              <c:strCache>
                <c:ptCount val="1"/>
                <c:pt idx="0">
                  <c:v>El</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Grafer!$C$859:$K$859</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C-47E4-488B-BB2A-D374AA27ED9B}"/>
            </c:ext>
          </c:extLst>
        </c:ser>
        <c:ser>
          <c:idx val="0"/>
          <c:order val="13"/>
          <c:tx>
            <c:strRef>
              <c:f>Grafer!$B$865</c:f>
              <c:strCache>
                <c:ptCount val="1"/>
                <c:pt idx="0">
                  <c:v>JP1</c:v>
                </c:pt>
              </c:strCache>
            </c:strRef>
          </c:tx>
          <c:invertIfNegative val="0"/>
          <c:val>
            <c:numRef>
              <c:f>Grafer!$C$865:$K$865</c:f>
              <c:numCache>
                <c:formatCode>#,##0</c:formatCode>
                <c:ptCount val="9"/>
                <c:pt idx="8">
                  <c:v>0</c:v>
                </c:pt>
              </c:numCache>
            </c:numRef>
          </c:val>
          <c:extLst xmlns:c16r2="http://schemas.microsoft.com/office/drawing/2015/06/chart">
            <c:ext xmlns:c16="http://schemas.microsoft.com/office/drawing/2014/chart" uri="{C3380CC4-5D6E-409C-BE32-E72D297353CC}">
              <c16:uniqueId val="{0000000D-47E4-488B-BB2A-D374AA27ED9B}"/>
            </c:ext>
          </c:extLst>
        </c:ser>
        <c:dLbls>
          <c:showLegendKey val="0"/>
          <c:showVal val="0"/>
          <c:showCatName val="0"/>
          <c:showSerName val="0"/>
          <c:showPercent val="0"/>
          <c:showBubbleSize val="0"/>
        </c:dLbls>
        <c:gapWidth val="150"/>
        <c:overlap val="100"/>
        <c:axId val="316632064"/>
        <c:axId val="316632456"/>
      </c:barChart>
      <c:catAx>
        <c:axId val="3166320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da-DK"/>
          </a:p>
        </c:txPr>
        <c:crossAx val="316632456"/>
        <c:crosses val="autoZero"/>
        <c:auto val="1"/>
        <c:lblAlgn val="ctr"/>
        <c:lblOffset val="100"/>
        <c:noMultiLvlLbl val="0"/>
      </c:catAx>
      <c:valAx>
        <c:axId val="316632456"/>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2064"/>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3027705061533"/>
          <c:y val="3.465346534653465E-2"/>
          <c:w val="0.64637145566444876"/>
          <c:h val="0.62314469696970176"/>
        </c:manualLayout>
      </c:layout>
      <c:barChart>
        <c:barDir val="col"/>
        <c:grouping val="stacked"/>
        <c:varyColors val="0"/>
        <c:ser>
          <c:idx val="2"/>
          <c:order val="0"/>
          <c:tx>
            <c:strRef>
              <c:f>Grafer!$B$733</c:f>
              <c:strCache>
                <c:ptCount val="1"/>
                <c:pt idx="0">
                  <c:v>Kul</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Grafer!$C$733:$K$733</c:f>
              <c:numCache>
                <c:formatCode>#,##0</c:formatCode>
                <c:ptCount val="9"/>
                <c:pt idx="5">
                  <c:v>0</c:v>
                </c:pt>
              </c:numCache>
            </c:numRef>
          </c:val>
          <c:extLst xmlns:c16r2="http://schemas.microsoft.com/office/drawing/2015/06/chart">
            <c:ext xmlns:c16="http://schemas.microsoft.com/office/drawing/2014/chart" uri="{C3380CC4-5D6E-409C-BE32-E72D297353CC}">
              <c16:uniqueId val="{00000000-BF7A-4F93-8278-74C594665313}"/>
            </c:ext>
          </c:extLst>
        </c:ser>
        <c:ser>
          <c:idx val="3"/>
          <c:order val="1"/>
          <c:tx>
            <c:strRef>
              <c:f>Grafer!$B$734</c:f>
              <c:strCache>
                <c:ptCount val="1"/>
                <c:pt idx="0">
                  <c:v>Naturgas og LPG</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Grafer!$C$734:$K$734</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1-BF7A-4F93-8278-74C594665313}"/>
            </c:ext>
          </c:extLst>
        </c:ser>
        <c:ser>
          <c:idx val="4"/>
          <c:order val="2"/>
          <c:tx>
            <c:strRef>
              <c:f>Grafer!$B$735</c:f>
              <c:strCache>
                <c:ptCount val="1"/>
                <c:pt idx="0">
                  <c:v>Fuelolie</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Grafer!$C$735:$K$735</c:f>
              <c:numCache>
                <c:formatCode>#,##0</c:formatCode>
                <c:ptCount val="9"/>
                <c:pt idx="5">
                  <c:v>0</c:v>
                </c:pt>
                <c:pt idx="8">
                  <c:v>0</c:v>
                </c:pt>
              </c:numCache>
            </c:numRef>
          </c:val>
          <c:extLst xmlns:c16r2="http://schemas.microsoft.com/office/drawing/2015/06/chart">
            <c:ext xmlns:c16="http://schemas.microsoft.com/office/drawing/2014/chart" uri="{C3380CC4-5D6E-409C-BE32-E72D297353CC}">
              <c16:uniqueId val="{00000002-BF7A-4F93-8278-74C594665313}"/>
            </c:ext>
          </c:extLst>
        </c:ser>
        <c:ser>
          <c:idx val="5"/>
          <c:order val="3"/>
          <c:tx>
            <c:strRef>
              <c:f>Grafer!$B$736</c:f>
              <c:strCache>
                <c:ptCount val="1"/>
                <c:pt idx="0">
                  <c:v>Brændselsolie/diesel</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Grafer!$C$736:$K$736</c:f>
              <c:numCache>
                <c:formatCode>#,##0</c:formatCode>
                <c:ptCount val="9"/>
                <c:pt idx="0">
                  <c:v>0</c:v>
                </c:pt>
                <c:pt idx="5">
                  <c:v>0</c:v>
                </c:pt>
                <c:pt idx="7">
                  <c:v>0</c:v>
                </c:pt>
                <c:pt idx="8">
                  <c:v>0</c:v>
                </c:pt>
              </c:numCache>
            </c:numRef>
          </c:val>
          <c:extLst xmlns:c16r2="http://schemas.microsoft.com/office/drawing/2015/06/chart">
            <c:ext xmlns:c16="http://schemas.microsoft.com/office/drawing/2014/chart" uri="{C3380CC4-5D6E-409C-BE32-E72D297353CC}">
              <c16:uniqueId val="{00000003-BF7A-4F93-8278-74C594665313}"/>
            </c:ext>
          </c:extLst>
        </c:ser>
        <c:ser>
          <c:idx val="6"/>
          <c:order val="4"/>
          <c:tx>
            <c:strRef>
              <c:f>Grafer!$B$737</c:f>
              <c:strCache>
                <c:ptCount val="1"/>
                <c:pt idx="0">
                  <c:v>Benzin</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Grafer!$C$737:$K$737</c:f>
              <c:numCache>
                <c:formatCode>#,##0</c:formatCode>
                <c:ptCount val="9"/>
                <c:pt idx="5">
                  <c:v>0</c:v>
                </c:pt>
                <c:pt idx="8">
                  <c:v>0</c:v>
                </c:pt>
              </c:numCache>
            </c:numRef>
          </c:val>
          <c:extLst xmlns:c16r2="http://schemas.microsoft.com/office/drawing/2015/06/chart">
            <c:ext xmlns:c16="http://schemas.microsoft.com/office/drawing/2014/chart" uri="{C3380CC4-5D6E-409C-BE32-E72D297353CC}">
              <c16:uniqueId val="{00000004-BF7A-4F93-8278-74C594665313}"/>
            </c:ext>
          </c:extLst>
        </c:ser>
        <c:ser>
          <c:idx val="0"/>
          <c:order val="5"/>
          <c:tx>
            <c:strRef>
              <c:f>Grafer!$B$738</c:f>
              <c:strCache>
                <c:ptCount val="1"/>
                <c:pt idx="0">
                  <c:v>JP1</c:v>
                </c:pt>
              </c:strCache>
            </c:strRef>
          </c:tx>
          <c:invertIfNegative val="0"/>
          <c:val>
            <c:numRef>
              <c:f>Grafer!$C$738:$K$738</c:f>
              <c:numCache>
                <c:formatCode>#,##0</c:formatCode>
                <c:ptCount val="9"/>
                <c:pt idx="8">
                  <c:v>0</c:v>
                </c:pt>
              </c:numCache>
            </c:numRef>
          </c:val>
          <c:extLst xmlns:c16r2="http://schemas.microsoft.com/office/drawing/2015/06/chart">
            <c:ext xmlns:c16="http://schemas.microsoft.com/office/drawing/2014/chart" uri="{C3380CC4-5D6E-409C-BE32-E72D297353CC}">
              <c16:uniqueId val="{00000005-BF7A-4F93-8278-74C594665313}"/>
            </c:ext>
          </c:extLst>
        </c:ser>
        <c:ser>
          <c:idx val="8"/>
          <c:order val="6"/>
          <c:tx>
            <c:strRef>
              <c:f>Grafer!$B$740</c:f>
              <c:strCache>
                <c:ptCount val="1"/>
                <c:pt idx="0">
                  <c:v>Biobrændstof</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Grafer!$C$740:$K$740</c:f>
              <c:numCache>
                <c:formatCode>#,##0</c:formatCode>
                <c:ptCount val="9"/>
                <c:pt idx="7">
                  <c:v>0</c:v>
                </c:pt>
                <c:pt idx="8">
                  <c:v>0</c:v>
                </c:pt>
              </c:numCache>
            </c:numRef>
          </c:val>
          <c:extLst xmlns:c16r2="http://schemas.microsoft.com/office/drawing/2015/06/chart">
            <c:ext xmlns:c16="http://schemas.microsoft.com/office/drawing/2014/chart" uri="{C3380CC4-5D6E-409C-BE32-E72D297353CC}">
              <c16:uniqueId val="{00000006-BF7A-4F93-8278-74C594665313}"/>
            </c:ext>
          </c:extLst>
        </c:ser>
        <c:ser>
          <c:idx val="7"/>
          <c:order val="7"/>
          <c:tx>
            <c:strRef>
              <c:f>Grafer!$B$739</c:f>
              <c:strCache>
                <c:ptCount val="1"/>
                <c:pt idx="0">
                  <c:v>Affald, ikke bionedbrydeligt</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Grafer!$C$739:$K$739</c:f>
              <c:numCache>
                <c:formatCode>#,##0</c:formatCode>
                <c:ptCount val="9"/>
                <c:pt idx="5">
                  <c:v>0</c:v>
                </c:pt>
              </c:numCache>
            </c:numRef>
          </c:val>
          <c:extLst xmlns:c16r2="http://schemas.microsoft.com/office/drawing/2015/06/chart">
            <c:ext xmlns:c16="http://schemas.microsoft.com/office/drawing/2014/chart" uri="{C3380CC4-5D6E-409C-BE32-E72D297353CC}">
              <c16:uniqueId val="{00000007-BF7A-4F93-8278-74C594665313}"/>
            </c:ext>
          </c:extLst>
        </c:ser>
        <c:ser>
          <c:idx val="9"/>
          <c:order val="8"/>
          <c:tx>
            <c:strRef>
              <c:f>Grafer!$B$741</c:f>
              <c:strCache>
                <c:ptCount val="1"/>
                <c:pt idx="0">
                  <c:v>Biomasse</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Grafer!$C$741:$K$741</c:f>
              <c:numCache>
                <c:formatCode>#,##0</c:formatCode>
                <c:ptCount val="9"/>
                <c:pt idx="0">
                  <c:v>0</c:v>
                </c:pt>
                <c:pt idx="5">
                  <c:v>0</c:v>
                </c:pt>
              </c:numCache>
            </c:numRef>
          </c:val>
          <c:extLst xmlns:c16r2="http://schemas.microsoft.com/office/drawing/2015/06/chart">
            <c:ext xmlns:c16="http://schemas.microsoft.com/office/drawing/2014/chart" uri="{C3380CC4-5D6E-409C-BE32-E72D297353CC}">
              <c16:uniqueId val="{00000008-BF7A-4F93-8278-74C594665313}"/>
            </c:ext>
          </c:extLst>
        </c:ser>
        <c:ser>
          <c:idx val="13"/>
          <c:order val="9"/>
          <c:tx>
            <c:strRef>
              <c:f>Grafer!$B$743</c:f>
              <c:strCache>
                <c:ptCount val="1"/>
                <c:pt idx="0">
                  <c:v>Procesvarme fra KV-produktion</c:v>
                </c:pt>
              </c:strCache>
            </c:strRef>
          </c:tx>
          <c:spPr>
            <a:solidFill>
              <a:schemeClr val="accent5">
                <a:lumMod val="40000"/>
                <a:lumOff val="60000"/>
              </a:schemeClr>
            </a:solidFill>
          </c:spPr>
          <c:invertIfNegative val="0"/>
          <c:val>
            <c:numRef>
              <c:f>Grafer!$C$743:$K$743</c:f>
              <c:numCache>
                <c:formatCode>#,##0</c:formatCode>
                <c:ptCount val="9"/>
                <c:pt idx="5">
                  <c:v>0</c:v>
                </c:pt>
              </c:numCache>
            </c:numRef>
          </c:val>
          <c:extLst xmlns:c16r2="http://schemas.microsoft.com/office/drawing/2015/06/chart">
            <c:ext xmlns:c16="http://schemas.microsoft.com/office/drawing/2014/chart" uri="{C3380CC4-5D6E-409C-BE32-E72D297353CC}">
              <c16:uniqueId val="{00000009-BF7A-4F93-8278-74C594665313}"/>
            </c:ext>
          </c:extLst>
        </c:ser>
        <c:ser>
          <c:idx val="10"/>
          <c:order val="10"/>
          <c:tx>
            <c:strRef>
              <c:f>Grafer!$B$742</c:f>
              <c:strCache>
                <c:ptCount val="1"/>
                <c:pt idx="0">
                  <c:v>Fjernvarme</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Grafer!$C$742:$K$742</c:f>
              <c:numCache>
                <c:formatCode>#,##0</c:formatCode>
                <c:ptCount val="9"/>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A-BF7A-4F93-8278-74C594665313}"/>
            </c:ext>
          </c:extLst>
        </c:ser>
        <c:ser>
          <c:idx val="11"/>
          <c:order val="11"/>
          <c:tx>
            <c:strRef>
              <c:f>Grafer!$B$744</c:f>
              <c:strCache>
                <c:ptCount val="1"/>
                <c:pt idx="0">
                  <c:v>Biogas</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Grafer!$C$744:$K$744</c:f>
              <c:numCache>
                <c:formatCode>#,##0</c:formatCode>
                <c:ptCount val="9"/>
                <c:pt idx="5">
                  <c:v>0</c:v>
                </c:pt>
              </c:numCache>
            </c:numRef>
          </c:val>
          <c:extLst xmlns:c16r2="http://schemas.microsoft.com/office/drawing/2015/06/chart">
            <c:ext xmlns:c16="http://schemas.microsoft.com/office/drawing/2014/chart" uri="{C3380CC4-5D6E-409C-BE32-E72D297353CC}">
              <c16:uniqueId val="{0000000B-BF7A-4F93-8278-74C594665313}"/>
            </c:ext>
          </c:extLst>
        </c:ser>
        <c:ser>
          <c:idx val="12"/>
          <c:order val="12"/>
          <c:tx>
            <c:strRef>
              <c:f>Grafer!$B$745</c:f>
              <c:strCache>
                <c:ptCount val="1"/>
                <c:pt idx="0">
                  <c:v>Solenergi og jordvarme</c:v>
                </c:pt>
              </c:strCache>
            </c:strRef>
          </c:tx>
          <c:invertIfNegative val="0"/>
          <c:cat>
            <c:strRef>
              <c:f>Grafer!$C$858:$K$858</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Grafer!$C$745:$K$745</c:f>
              <c:numCache>
                <c:formatCode>#,##0</c:formatCode>
                <c:ptCount val="9"/>
                <c:pt idx="0">
                  <c:v>0</c:v>
                </c:pt>
              </c:numCache>
            </c:numRef>
          </c:val>
          <c:extLst xmlns:c16r2="http://schemas.microsoft.com/office/drawing/2015/06/chart">
            <c:ext xmlns:c16="http://schemas.microsoft.com/office/drawing/2014/chart" uri="{C3380CC4-5D6E-409C-BE32-E72D297353CC}">
              <c16:uniqueId val="{0000000C-BF7A-4F93-8278-74C594665313}"/>
            </c:ext>
          </c:extLst>
        </c:ser>
        <c:ser>
          <c:idx val="1"/>
          <c:order val="13"/>
          <c:tx>
            <c:strRef>
              <c:f>Grafer!$B$732</c:f>
              <c:strCache>
                <c:ptCount val="1"/>
                <c:pt idx="0">
                  <c:v>El</c:v>
                </c:pt>
              </c:strCache>
            </c:strRef>
          </c:tx>
          <c:invertIfNegative val="0"/>
          <c:cat>
            <c:strRef>
              <c:f>Grafer!$C$731:$K$731</c:f>
              <c:strCache>
                <c:ptCount val="9"/>
                <c:pt idx="0">
                  <c:v>Boliger og fritidshuse</c:v>
                </c:pt>
                <c:pt idx="1">
                  <c:v>Offentlig service</c:v>
                </c:pt>
                <c:pt idx="2">
                  <c:v>Privat service</c:v>
                </c:pt>
                <c:pt idx="3">
                  <c:v>Detail- og engroshandel</c:v>
                </c:pt>
                <c:pt idx="4">
                  <c:v>Bygge- og anlægsvirksomhed</c:v>
                </c:pt>
                <c:pt idx="5">
                  <c:v>Fremstillingsvirksomhed</c:v>
                </c:pt>
                <c:pt idx="6">
                  <c:v>Gartneri</c:v>
                </c:pt>
                <c:pt idx="7">
                  <c:v>Landbrug</c:v>
                </c:pt>
                <c:pt idx="8">
                  <c:v>Transport</c:v>
                </c:pt>
              </c:strCache>
            </c:strRef>
          </c:cat>
          <c:val>
            <c:numRef>
              <c:f>Grafer!$C$732:$K$732</c:f>
              <c:numCache>
                <c:formatCode>#,##0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D-BF7A-4F93-8278-74C594665313}"/>
            </c:ext>
          </c:extLst>
        </c:ser>
        <c:dLbls>
          <c:showLegendKey val="0"/>
          <c:showVal val="0"/>
          <c:showCatName val="0"/>
          <c:showSerName val="0"/>
          <c:showPercent val="0"/>
          <c:showBubbleSize val="0"/>
        </c:dLbls>
        <c:gapWidth val="150"/>
        <c:overlap val="100"/>
        <c:axId val="316635200"/>
        <c:axId val="316635592"/>
      </c:barChart>
      <c:catAx>
        <c:axId val="3166352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da-DK"/>
          </a:p>
        </c:txPr>
        <c:crossAx val="316635592"/>
        <c:crosses val="autoZero"/>
        <c:auto val="1"/>
        <c:lblAlgn val="ctr"/>
        <c:lblOffset val="100"/>
        <c:noMultiLvlLbl val="0"/>
      </c:catAx>
      <c:valAx>
        <c:axId val="31663559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da-DK"/>
                  <a:t>TJ/år</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316635200"/>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da-DK"/>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1377" l="0.70000000000000062" r="0.70000000000000062" t="0.75000000000001377"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hyperlink" Target="#Grafer!B88"/><Relationship Id="rId39" Type="http://schemas.openxmlformats.org/officeDocument/2006/relationships/hyperlink" Target="#Grafer!B266"/><Relationship Id="rId21" Type="http://schemas.openxmlformats.org/officeDocument/2006/relationships/chart" Target="../charts/chart21.xml"/><Relationship Id="rId34" Type="http://schemas.openxmlformats.org/officeDocument/2006/relationships/hyperlink" Target="#Grafer!B1149"/><Relationship Id="rId42" Type="http://schemas.openxmlformats.org/officeDocument/2006/relationships/hyperlink" Target="#Grafer!B516"/><Relationship Id="rId47" Type="http://schemas.openxmlformats.org/officeDocument/2006/relationships/hyperlink" Target="#Grafer!B442"/><Relationship Id="rId50" Type="http://schemas.openxmlformats.org/officeDocument/2006/relationships/hyperlink" Target="#Grafer!B811"/><Relationship Id="rId55" Type="http://schemas.openxmlformats.org/officeDocument/2006/relationships/chart" Target="../charts/chart26.xml"/><Relationship Id="rId63" Type="http://schemas.openxmlformats.org/officeDocument/2006/relationships/chart" Target="../charts/chart33.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hyperlink" Target="#Grafer!B676"/><Relationship Id="rId41" Type="http://schemas.openxmlformats.org/officeDocument/2006/relationships/hyperlink" Target="#Grafer!B486"/><Relationship Id="rId54" Type="http://schemas.openxmlformats.org/officeDocument/2006/relationships/hyperlink" Target="#Grafer!B1005"/><Relationship Id="rId62" Type="http://schemas.openxmlformats.org/officeDocument/2006/relationships/chart" Target="../charts/chart3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hyperlink" Target="#Grafer!B1053"/><Relationship Id="rId37" Type="http://schemas.openxmlformats.org/officeDocument/2006/relationships/hyperlink" Target="#Grafer!B208"/><Relationship Id="rId40" Type="http://schemas.openxmlformats.org/officeDocument/2006/relationships/hyperlink" Target="#Grafer!B296"/><Relationship Id="rId45" Type="http://schemas.openxmlformats.org/officeDocument/2006/relationships/hyperlink" Target="#Grafer!B366"/><Relationship Id="rId53" Type="http://schemas.openxmlformats.org/officeDocument/2006/relationships/hyperlink" Target="#Grafer!B976"/><Relationship Id="rId58" Type="http://schemas.openxmlformats.org/officeDocument/2006/relationships/chart" Target="../charts/chart28.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hyperlink" Target="#Grafer!B635"/><Relationship Id="rId36" Type="http://schemas.openxmlformats.org/officeDocument/2006/relationships/hyperlink" Target="#Grafer!B179"/><Relationship Id="rId49" Type="http://schemas.openxmlformats.org/officeDocument/2006/relationships/hyperlink" Target="#Grafer!B902"/><Relationship Id="rId57" Type="http://schemas.openxmlformats.org/officeDocument/2006/relationships/chart" Target="../charts/chart27.xml"/><Relationship Id="rId61" Type="http://schemas.openxmlformats.org/officeDocument/2006/relationships/chart" Target="../charts/chart3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hyperlink" Target="#Grafer!B1197"/><Relationship Id="rId44" Type="http://schemas.openxmlformats.org/officeDocument/2006/relationships/hyperlink" Target="#Grafer!B337"/><Relationship Id="rId52" Type="http://schemas.openxmlformats.org/officeDocument/2006/relationships/hyperlink" Target="#Grafer!B946"/><Relationship Id="rId60" Type="http://schemas.openxmlformats.org/officeDocument/2006/relationships/chart" Target="../charts/chart3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hyperlink" Target="#Grafer!B605"/><Relationship Id="rId30" Type="http://schemas.openxmlformats.org/officeDocument/2006/relationships/hyperlink" Target="#Grafer!B706"/><Relationship Id="rId35" Type="http://schemas.openxmlformats.org/officeDocument/2006/relationships/hyperlink" Target="#Grafer!B149"/><Relationship Id="rId43" Type="http://schemas.openxmlformats.org/officeDocument/2006/relationships/hyperlink" Target="#Grafer!B546"/><Relationship Id="rId48" Type="http://schemas.openxmlformats.org/officeDocument/2006/relationships/hyperlink" Target="#Grafer!B777"/><Relationship Id="rId56" Type="http://schemas.openxmlformats.org/officeDocument/2006/relationships/hyperlink" Target="#Grafer!A1"/><Relationship Id="rId8" Type="http://schemas.openxmlformats.org/officeDocument/2006/relationships/chart" Target="../charts/chart8.xml"/><Relationship Id="rId51" Type="http://schemas.openxmlformats.org/officeDocument/2006/relationships/hyperlink" Target="#Grafer!B840"/><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hyperlink" Target="#Grafer!B1104"/><Relationship Id="rId38" Type="http://schemas.openxmlformats.org/officeDocument/2006/relationships/hyperlink" Target="#Grafer!B237"/><Relationship Id="rId46" Type="http://schemas.openxmlformats.org/officeDocument/2006/relationships/hyperlink" Target="#Grafer!B396"/><Relationship Id="rId59"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7.xml"/></Relationships>
</file>

<file path=xl/drawings/drawing1.xml><?xml version="1.0" encoding="utf-8"?>
<xdr:wsDr xmlns:xdr="http://schemas.openxmlformats.org/drawingml/2006/spreadsheetDrawing" xmlns:a="http://schemas.openxmlformats.org/drawingml/2006/main">
  <xdr:twoCellAnchor>
    <xdr:from>
      <xdr:col>24</xdr:col>
      <xdr:colOff>0</xdr:colOff>
      <xdr:row>87</xdr:row>
      <xdr:rowOff>0</xdr:rowOff>
    </xdr:from>
    <xdr:to>
      <xdr:col>24</xdr:col>
      <xdr:colOff>1673567</xdr:colOff>
      <xdr:row>87</xdr:row>
      <xdr:rowOff>413143</xdr:rowOff>
    </xdr:to>
    <xdr:pic>
      <xdr:nvPicPr>
        <xdr:cNvPr id="3" name="Billede 0" descr="logo.wmf">
          <a:extLst>
            <a:ext uri="{FF2B5EF4-FFF2-40B4-BE49-F238E27FC236}">
              <a16:creationId xmlns="" xmlns:a16="http://schemas.microsoft.com/office/drawing/2014/main" id="{CBD45951-3913-45D4-8278-A7A5F7B6D12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58700" y="18449925"/>
          <a:ext cx="1678329" cy="4179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87</xdr:row>
      <xdr:rowOff>0</xdr:rowOff>
    </xdr:from>
    <xdr:to>
      <xdr:col>24</xdr:col>
      <xdr:colOff>1673567</xdr:colOff>
      <xdr:row>87</xdr:row>
      <xdr:rowOff>413143</xdr:rowOff>
    </xdr:to>
    <xdr:pic>
      <xdr:nvPicPr>
        <xdr:cNvPr id="18" name="Billede 0" descr="logo.wmf">
          <a:extLst>
            <a:ext uri="{FF2B5EF4-FFF2-40B4-BE49-F238E27FC236}">
              <a16:creationId xmlns="" xmlns:a16="http://schemas.microsoft.com/office/drawing/2014/main" id="{6D4045D2-9B84-4E4A-910A-162BD54B7A2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541125" y="18621375"/>
          <a:ext cx="1673567" cy="413143"/>
        </a:xfrm>
        <a:prstGeom prst="rect">
          <a:avLst/>
        </a:prstGeom>
        <a:noFill/>
        <a:ln w="9525">
          <a:noFill/>
          <a:miter lim="800000"/>
          <a:headEnd/>
          <a:tailEnd/>
        </a:ln>
      </xdr:spPr>
    </xdr:pic>
    <xdr:clientData/>
  </xdr:twoCellAnchor>
  <xdr:twoCellAnchor>
    <xdr:from>
      <xdr:col>24</xdr:col>
      <xdr:colOff>0</xdr:colOff>
      <xdr:row>87</xdr:row>
      <xdr:rowOff>0</xdr:rowOff>
    </xdr:from>
    <xdr:to>
      <xdr:col>24</xdr:col>
      <xdr:colOff>1673567</xdr:colOff>
      <xdr:row>87</xdr:row>
      <xdr:rowOff>413143</xdr:rowOff>
    </xdr:to>
    <xdr:pic>
      <xdr:nvPicPr>
        <xdr:cNvPr id="3" name="Billede 0" descr="logo.wmf">
          <a:extLst>
            <a:ext uri="{FF2B5EF4-FFF2-40B4-BE49-F238E27FC236}">
              <a16:creationId xmlns="" xmlns:a16="http://schemas.microsoft.com/office/drawing/2014/main" id="{A257047A-6A8C-452F-B6F0-2FAF03AE35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534775" y="18554700"/>
          <a:ext cx="1673567" cy="413143"/>
        </a:xfrm>
        <a:prstGeom prst="rect">
          <a:avLst/>
        </a:prstGeom>
        <a:noFill/>
        <a:ln w="9525">
          <a:noFill/>
          <a:miter lim="800000"/>
          <a:headEnd/>
          <a:tailEnd/>
        </a:ln>
      </xdr:spPr>
    </xdr:pic>
    <xdr:clientData/>
  </xdr:twoCellAnchor>
  <xdr:twoCellAnchor>
    <xdr:from>
      <xdr:col>24</xdr:col>
      <xdr:colOff>0</xdr:colOff>
      <xdr:row>87</xdr:row>
      <xdr:rowOff>0</xdr:rowOff>
    </xdr:from>
    <xdr:to>
      <xdr:col>29</xdr:col>
      <xdr:colOff>404132</xdr:colOff>
      <xdr:row>87</xdr:row>
      <xdr:rowOff>745672</xdr:rowOff>
    </xdr:to>
    <xdr:grpSp>
      <xdr:nvGrpSpPr>
        <xdr:cNvPr id="4" name="Gruppe 3">
          <a:extLst>
            <a:ext uri="{FF2B5EF4-FFF2-40B4-BE49-F238E27FC236}">
              <a16:creationId xmlns="" xmlns:a16="http://schemas.microsoft.com/office/drawing/2014/main" id="{072B2336-5B1C-4621-8EE0-ABE70DD0A8EC}"/>
            </a:ext>
          </a:extLst>
        </xdr:cNvPr>
        <xdr:cNvGrpSpPr>
          <a:grpSpLocks/>
        </xdr:cNvGrpSpPr>
      </xdr:nvGrpSpPr>
      <xdr:grpSpPr bwMode="auto">
        <a:xfrm>
          <a:off x="11665324" y="18624176"/>
          <a:ext cx="5861396" cy="745672"/>
          <a:chOff x="12495439" y="13596257"/>
          <a:chExt cx="5783036" cy="704850"/>
        </a:xfrm>
      </xdr:grpSpPr>
      <xdr:pic>
        <xdr:nvPicPr>
          <xdr:cNvPr id="5" name="Picture 9" descr="RM's logo">
            <a:extLst>
              <a:ext uri="{FF2B5EF4-FFF2-40B4-BE49-F238E27FC236}">
                <a16:creationId xmlns="" xmlns:a16="http://schemas.microsoft.com/office/drawing/2014/main" id="{6315534E-5CCF-4DC9-BFED-74288682383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6" name="Billede 0" descr="logo.wmf">
            <a:extLst>
              <a:ext uri="{FF2B5EF4-FFF2-40B4-BE49-F238E27FC236}">
                <a16:creationId xmlns="" xmlns:a16="http://schemas.microsoft.com/office/drawing/2014/main" id="{390E26AC-D219-446B-8B04-9D04CCEB1A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7" name="Gruppe 3">
          <a:extLst>
            <a:ext uri="{FF2B5EF4-FFF2-40B4-BE49-F238E27FC236}">
              <a16:creationId xmlns="" xmlns:a16="http://schemas.microsoft.com/office/drawing/2014/main" id="{A2B028C1-DB20-4C75-B21E-1479AF2C0D9E}"/>
            </a:ext>
          </a:extLst>
        </xdr:cNvPr>
        <xdr:cNvGrpSpPr>
          <a:grpSpLocks/>
        </xdr:cNvGrpSpPr>
      </xdr:nvGrpSpPr>
      <xdr:grpSpPr bwMode="auto">
        <a:xfrm>
          <a:off x="11665324" y="18624176"/>
          <a:ext cx="5861396" cy="745672"/>
          <a:chOff x="12495439" y="13596257"/>
          <a:chExt cx="5783036" cy="704850"/>
        </a:xfrm>
      </xdr:grpSpPr>
      <xdr:pic>
        <xdr:nvPicPr>
          <xdr:cNvPr id="8" name="Picture 9" descr="RM's logo">
            <a:extLst>
              <a:ext uri="{FF2B5EF4-FFF2-40B4-BE49-F238E27FC236}">
                <a16:creationId xmlns="" xmlns:a16="http://schemas.microsoft.com/office/drawing/2014/main" id="{7A8D4DCE-00EB-408A-BEB1-A3FC767AED5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9" name="Billede 0" descr="logo.wmf">
            <a:extLst>
              <a:ext uri="{FF2B5EF4-FFF2-40B4-BE49-F238E27FC236}">
                <a16:creationId xmlns="" xmlns:a16="http://schemas.microsoft.com/office/drawing/2014/main" id="{B9518EAF-26FF-4B36-AE66-E2A1C1FF72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0" name="Gruppe 3">
          <a:extLst>
            <a:ext uri="{FF2B5EF4-FFF2-40B4-BE49-F238E27FC236}">
              <a16:creationId xmlns="" xmlns:a16="http://schemas.microsoft.com/office/drawing/2014/main" id="{8A68EF02-DB65-4460-925E-D56E3021CE71}"/>
            </a:ext>
          </a:extLst>
        </xdr:cNvPr>
        <xdr:cNvGrpSpPr>
          <a:grpSpLocks/>
        </xdr:cNvGrpSpPr>
      </xdr:nvGrpSpPr>
      <xdr:grpSpPr bwMode="auto">
        <a:xfrm>
          <a:off x="11665324" y="18624176"/>
          <a:ext cx="5861396" cy="745672"/>
          <a:chOff x="12495439" y="13596257"/>
          <a:chExt cx="5783036" cy="704850"/>
        </a:xfrm>
      </xdr:grpSpPr>
      <xdr:pic>
        <xdr:nvPicPr>
          <xdr:cNvPr id="11" name="Picture 9" descr="RM's logo">
            <a:extLst>
              <a:ext uri="{FF2B5EF4-FFF2-40B4-BE49-F238E27FC236}">
                <a16:creationId xmlns="" xmlns:a16="http://schemas.microsoft.com/office/drawing/2014/main" id="{102F8EA9-A784-442C-9BF7-844BA55A52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2" name="Billede 0" descr="logo.wmf">
            <a:extLst>
              <a:ext uri="{FF2B5EF4-FFF2-40B4-BE49-F238E27FC236}">
                <a16:creationId xmlns="" xmlns:a16="http://schemas.microsoft.com/office/drawing/2014/main" id="{44EB5332-0B86-48B7-A900-5705A22108D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0</xdr:colOff>
      <xdr:row>87</xdr:row>
      <xdr:rowOff>0</xdr:rowOff>
    </xdr:from>
    <xdr:to>
      <xdr:col>24</xdr:col>
      <xdr:colOff>1673567</xdr:colOff>
      <xdr:row>87</xdr:row>
      <xdr:rowOff>413143</xdr:rowOff>
    </xdr:to>
    <xdr:pic>
      <xdr:nvPicPr>
        <xdr:cNvPr id="17" name="Billede 0" descr="logo.wmf">
          <a:extLst>
            <a:ext uri="{FF2B5EF4-FFF2-40B4-BE49-F238E27FC236}">
              <a16:creationId xmlns="" xmlns:a16="http://schemas.microsoft.com/office/drawing/2014/main" id="{4BE28765-6B7A-4B49-B034-CA92E40C108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538857" y="18546536"/>
          <a:ext cx="1673567" cy="413143"/>
        </a:xfrm>
        <a:prstGeom prst="rect">
          <a:avLst/>
        </a:prstGeom>
        <a:noFill/>
        <a:ln w="9525">
          <a:noFill/>
          <a:miter lim="800000"/>
          <a:headEnd/>
          <a:tailEnd/>
        </a:ln>
      </xdr:spPr>
    </xdr:pic>
    <xdr:clientData/>
  </xdr:twoCellAnchor>
  <xdr:twoCellAnchor>
    <xdr:from>
      <xdr:col>24</xdr:col>
      <xdr:colOff>0</xdr:colOff>
      <xdr:row>87</xdr:row>
      <xdr:rowOff>0</xdr:rowOff>
    </xdr:from>
    <xdr:to>
      <xdr:col>29</xdr:col>
      <xdr:colOff>404132</xdr:colOff>
      <xdr:row>87</xdr:row>
      <xdr:rowOff>745672</xdr:rowOff>
    </xdr:to>
    <xdr:grpSp>
      <xdr:nvGrpSpPr>
        <xdr:cNvPr id="3" name="Gruppe 3">
          <a:extLst>
            <a:ext uri="{FF2B5EF4-FFF2-40B4-BE49-F238E27FC236}">
              <a16:creationId xmlns="" xmlns:a16="http://schemas.microsoft.com/office/drawing/2014/main" id="{47484551-F05C-4909-9641-E40F8233F3F2}"/>
            </a:ext>
          </a:extLst>
        </xdr:cNvPr>
        <xdr:cNvGrpSpPr>
          <a:grpSpLocks/>
        </xdr:cNvGrpSpPr>
      </xdr:nvGrpSpPr>
      <xdr:grpSpPr bwMode="auto">
        <a:xfrm>
          <a:off x="11538857" y="18546536"/>
          <a:ext cx="5411561" cy="745672"/>
          <a:chOff x="12495439" y="13596257"/>
          <a:chExt cx="5783036" cy="704850"/>
        </a:xfrm>
      </xdr:grpSpPr>
      <xdr:pic>
        <xdr:nvPicPr>
          <xdr:cNvPr id="4" name="Picture 9" descr="RM's logo">
            <a:extLst>
              <a:ext uri="{FF2B5EF4-FFF2-40B4-BE49-F238E27FC236}">
                <a16:creationId xmlns="" xmlns:a16="http://schemas.microsoft.com/office/drawing/2014/main" id="{723D891B-FB97-4B6C-B05E-031CB82AE6A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5" name="Billede 0" descr="logo.wmf">
            <a:extLst>
              <a:ext uri="{FF2B5EF4-FFF2-40B4-BE49-F238E27FC236}">
                <a16:creationId xmlns="" xmlns:a16="http://schemas.microsoft.com/office/drawing/2014/main" id="{F6F95E08-E3FD-454F-B61A-E5E5D9508BE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6" name="Gruppe 3">
          <a:extLst>
            <a:ext uri="{FF2B5EF4-FFF2-40B4-BE49-F238E27FC236}">
              <a16:creationId xmlns="" xmlns:a16="http://schemas.microsoft.com/office/drawing/2014/main" id="{C1D1D5DD-97A2-4A8D-B0E6-1E2B02239002}"/>
            </a:ext>
          </a:extLst>
        </xdr:cNvPr>
        <xdr:cNvGrpSpPr>
          <a:grpSpLocks/>
        </xdr:cNvGrpSpPr>
      </xdr:nvGrpSpPr>
      <xdr:grpSpPr bwMode="auto">
        <a:xfrm>
          <a:off x="11538857" y="18546536"/>
          <a:ext cx="5411561" cy="745672"/>
          <a:chOff x="12495439" y="13596257"/>
          <a:chExt cx="5783036" cy="704850"/>
        </a:xfrm>
      </xdr:grpSpPr>
      <xdr:pic>
        <xdr:nvPicPr>
          <xdr:cNvPr id="7" name="Picture 9" descr="RM's logo">
            <a:extLst>
              <a:ext uri="{FF2B5EF4-FFF2-40B4-BE49-F238E27FC236}">
                <a16:creationId xmlns="" xmlns:a16="http://schemas.microsoft.com/office/drawing/2014/main" id="{BBE3E988-0303-4FE9-ABC5-9118CE2A19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8" name="Billede 0" descr="logo.wmf">
            <a:extLst>
              <a:ext uri="{FF2B5EF4-FFF2-40B4-BE49-F238E27FC236}">
                <a16:creationId xmlns="" xmlns:a16="http://schemas.microsoft.com/office/drawing/2014/main" id="{2D46BA3B-4488-4A9A-AA0D-4B23636471D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twoCellAnchor>
    <xdr:from>
      <xdr:col>24</xdr:col>
      <xdr:colOff>0</xdr:colOff>
      <xdr:row>87</xdr:row>
      <xdr:rowOff>0</xdr:rowOff>
    </xdr:from>
    <xdr:to>
      <xdr:col>29</xdr:col>
      <xdr:colOff>404132</xdr:colOff>
      <xdr:row>87</xdr:row>
      <xdr:rowOff>745672</xdr:rowOff>
    </xdr:to>
    <xdr:grpSp>
      <xdr:nvGrpSpPr>
        <xdr:cNvPr id="12" name="Gruppe 3">
          <a:extLst>
            <a:ext uri="{FF2B5EF4-FFF2-40B4-BE49-F238E27FC236}">
              <a16:creationId xmlns="" xmlns:a16="http://schemas.microsoft.com/office/drawing/2014/main" id="{1A1D670B-E578-4961-A000-16A223969DFF}"/>
            </a:ext>
          </a:extLst>
        </xdr:cNvPr>
        <xdr:cNvGrpSpPr>
          <a:grpSpLocks/>
        </xdr:cNvGrpSpPr>
      </xdr:nvGrpSpPr>
      <xdr:grpSpPr bwMode="auto">
        <a:xfrm>
          <a:off x="11538857" y="18546536"/>
          <a:ext cx="5411561" cy="745672"/>
          <a:chOff x="12495439" y="13596257"/>
          <a:chExt cx="5783036" cy="704850"/>
        </a:xfrm>
      </xdr:grpSpPr>
      <xdr:pic>
        <xdr:nvPicPr>
          <xdr:cNvPr id="13" name="Picture 9" descr="RM's logo">
            <a:extLst>
              <a:ext uri="{FF2B5EF4-FFF2-40B4-BE49-F238E27FC236}">
                <a16:creationId xmlns="" xmlns:a16="http://schemas.microsoft.com/office/drawing/2014/main" id="{ED1F44D0-B8F9-4056-87EF-B897CE8C18E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14" name="Billede 0" descr="logo.wmf">
            <a:extLst>
              <a:ext uri="{FF2B5EF4-FFF2-40B4-BE49-F238E27FC236}">
                <a16:creationId xmlns="" xmlns:a16="http://schemas.microsoft.com/office/drawing/2014/main" id="{3B6A5618-2318-4B6F-8753-E675FA908F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404403</xdr:colOff>
      <xdr:row>87</xdr:row>
      <xdr:rowOff>241840</xdr:rowOff>
    </xdr:from>
    <xdr:to>
      <xdr:col>24</xdr:col>
      <xdr:colOff>2077970</xdr:colOff>
      <xdr:row>87</xdr:row>
      <xdr:rowOff>654983</xdr:rowOff>
    </xdr:to>
    <xdr:pic>
      <xdr:nvPicPr>
        <xdr:cNvPr id="2" name="Billede 0" descr="logo.wmf">
          <a:extLst>
            <a:ext uri="{FF2B5EF4-FFF2-40B4-BE49-F238E27FC236}">
              <a16:creationId xmlns="" xmlns:a16="http://schemas.microsoft.com/office/drawing/2014/main" id="{32BBA681-4A1A-4CD6-81E7-7041ED24B9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39178" y="18710815"/>
          <a:ext cx="1673567" cy="413143"/>
        </a:xfrm>
        <a:prstGeom prst="rect">
          <a:avLst/>
        </a:prstGeom>
        <a:noFill/>
        <a:ln w="9525">
          <a:noFill/>
          <a:miter lim="800000"/>
          <a:headEnd/>
          <a:tailEnd/>
        </a:ln>
      </xdr:spPr>
    </xdr:pic>
    <xdr:clientData/>
  </xdr:twoCellAnchor>
  <xdr:twoCellAnchor>
    <xdr:from>
      <xdr:col>24</xdr:col>
      <xdr:colOff>404403</xdr:colOff>
      <xdr:row>87</xdr:row>
      <xdr:rowOff>241840</xdr:rowOff>
    </xdr:from>
    <xdr:to>
      <xdr:col>24</xdr:col>
      <xdr:colOff>2077970</xdr:colOff>
      <xdr:row>87</xdr:row>
      <xdr:rowOff>654983</xdr:rowOff>
    </xdr:to>
    <xdr:pic>
      <xdr:nvPicPr>
        <xdr:cNvPr id="3" name="Billede 0" descr="logo.wmf">
          <a:extLst>
            <a:ext uri="{FF2B5EF4-FFF2-40B4-BE49-F238E27FC236}">
              <a16:creationId xmlns="" xmlns:a16="http://schemas.microsoft.com/office/drawing/2014/main" id="{AA766EC0-924A-48B4-96AA-83370F7629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39178" y="18710815"/>
          <a:ext cx="1673567" cy="413143"/>
        </a:xfrm>
        <a:prstGeom prst="rect">
          <a:avLst/>
        </a:prstGeom>
        <a:noFill/>
        <a:ln w="9525">
          <a:noFill/>
          <a:miter lim="800000"/>
          <a:headEnd/>
          <a:tailEnd/>
        </a:ln>
      </xdr:spPr>
    </xdr:pic>
    <xdr:clientData/>
  </xdr:twoCellAnchor>
  <xdr:twoCellAnchor>
    <xdr:from>
      <xdr:col>24</xdr:col>
      <xdr:colOff>404403</xdr:colOff>
      <xdr:row>87</xdr:row>
      <xdr:rowOff>241840</xdr:rowOff>
    </xdr:from>
    <xdr:to>
      <xdr:col>24</xdr:col>
      <xdr:colOff>2077970</xdr:colOff>
      <xdr:row>87</xdr:row>
      <xdr:rowOff>654983</xdr:rowOff>
    </xdr:to>
    <xdr:pic>
      <xdr:nvPicPr>
        <xdr:cNvPr id="4" name="Billede 0" descr="logo.wmf">
          <a:extLst>
            <a:ext uri="{FF2B5EF4-FFF2-40B4-BE49-F238E27FC236}">
              <a16:creationId xmlns="" xmlns:a16="http://schemas.microsoft.com/office/drawing/2014/main" id="{D3CAF278-2D48-4751-A356-FC3713E874E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39178" y="18653665"/>
          <a:ext cx="1673567" cy="413143"/>
        </a:xfrm>
        <a:prstGeom prst="rect">
          <a:avLst/>
        </a:prstGeom>
        <a:noFill/>
        <a:ln w="9525">
          <a:noFill/>
          <a:miter lim="800000"/>
          <a:headEnd/>
          <a:tailEnd/>
        </a:ln>
      </xdr:spPr>
    </xdr:pic>
    <xdr:clientData/>
  </xdr:twoCellAnchor>
  <xdr:twoCellAnchor>
    <xdr:from>
      <xdr:col>24</xdr:col>
      <xdr:colOff>0</xdr:colOff>
      <xdr:row>87</xdr:row>
      <xdr:rowOff>0</xdr:rowOff>
    </xdr:from>
    <xdr:to>
      <xdr:col>29</xdr:col>
      <xdr:colOff>404132</xdr:colOff>
      <xdr:row>87</xdr:row>
      <xdr:rowOff>745672</xdr:rowOff>
    </xdr:to>
    <xdr:grpSp>
      <xdr:nvGrpSpPr>
        <xdr:cNvPr id="5" name="Gruppe 3">
          <a:extLst>
            <a:ext uri="{FF2B5EF4-FFF2-40B4-BE49-F238E27FC236}">
              <a16:creationId xmlns="" xmlns:a16="http://schemas.microsoft.com/office/drawing/2014/main" id="{66E67857-F818-48F1-BAF8-34C1455086A1}"/>
            </a:ext>
          </a:extLst>
        </xdr:cNvPr>
        <xdr:cNvGrpSpPr>
          <a:grpSpLocks/>
        </xdr:cNvGrpSpPr>
      </xdr:nvGrpSpPr>
      <xdr:grpSpPr bwMode="auto">
        <a:xfrm>
          <a:off x="11538857" y="18492107"/>
          <a:ext cx="5411561" cy="745672"/>
          <a:chOff x="12495439" y="13596257"/>
          <a:chExt cx="5783036" cy="704850"/>
        </a:xfrm>
      </xdr:grpSpPr>
      <xdr:pic>
        <xdr:nvPicPr>
          <xdr:cNvPr id="6" name="Picture 9" descr="RM's logo">
            <a:extLst>
              <a:ext uri="{FF2B5EF4-FFF2-40B4-BE49-F238E27FC236}">
                <a16:creationId xmlns="" xmlns:a16="http://schemas.microsoft.com/office/drawing/2014/main" id="{AC06EA5E-AC2F-4EF5-8D7E-6F2785DD57C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495439" y="13596257"/>
            <a:ext cx="5783036" cy="704850"/>
          </a:xfrm>
          <a:prstGeom prst="rect">
            <a:avLst/>
          </a:prstGeom>
          <a:noFill/>
          <a:ln w="9525">
            <a:noFill/>
            <a:miter lim="800000"/>
            <a:headEnd/>
            <a:tailEnd/>
          </a:ln>
        </xdr:spPr>
      </xdr:pic>
      <xdr:pic>
        <xdr:nvPicPr>
          <xdr:cNvPr id="7" name="Billede 0" descr="logo.wmf">
            <a:extLst>
              <a:ext uri="{FF2B5EF4-FFF2-40B4-BE49-F238E27FC236}">
                <a16:creationId xmlns="" xmlns:a16="http://schemas.microsoft.com/office/drawing/2014/main" id="{1D7938CA-D66A-4745-B1B9-80E279EFBF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28146" y="13824857"/>
            <a:ext cx="1790700" cy="390525"/>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30416</xdr:colOff>
      <xdr:row>582</xdr:row>
      <xdr:rowOff>23548</xdr:rowOff>
    </xdr:from>
    <xdr:to>
      <xdr:col>6</xdr:col>
      <xdr:colOff>540505</xdr:colOff>
      <xdr:row>607</xdr:row>
      <xdr:rowOff>61490</xdr:rowOff>
    </xdr:to>
    <xdr:graphicFrame macro="">
      <xdr:nvGraphicFramePr>
        <xdr:cNvPr id="2" name="Diagram 16">
          <a:extLst>
            <a:ext uri="{FF2B5EF4-FFF2-40B4-BE49-F238E27FC236}">
              <a16:creationId xmlns=""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609598</xdr:colOff>
      <xdr:row>243</xdr:row>
      <xdr:rowOff>156481</xdr:rowOff>
    </xdr:from>
    <xdr:to>
      <xdr:col>7</xdr:col>
      <xdr:colOff>819973</xdr:colOff>
      <xdr:row>268</xdr:row>
      <xdr:rowOff>66996</xdr:rowOff>
    </xdr:to>
    <xdr:graphicFrame macro="">
      <xdr:nvGraphicFramePr>
        <xdr:cNvPr id="3" name="Diagram 19">
          <a:extLst>
            <a:ext uri="{FF2B5EF4-FFF2-40B4-BE49-F238E27FC236}">
              <a16:creationId xmlns=""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315</xdr:row>
      <xdr:rowOff>28576</xdr:rowOff>
    </xdr:from>
    <xdr:to>
      <xdr:col>6</xdr:col>
      <xdr:colOff>501203</xdr:colOff>
      <xdr:row>339</xdr:row>
      <xdr:rowOff>60296</xdr:rowOff>
    </xdr:to>
    <xdr:graphicFrame macro="">
      <xdr:nvGraphicFramePr>
        <xdr:cNvPr id="4" name="Diagram 21">
          <a:extLst>
            <a:ext uri="{FF2B5EF4-FFF2-40B4-BE49-F238E27FC236}">
              <a16:creationId xmlns="" xmlns:a16="http://schemas.microsoft.com/office/drawing/2014/main" id="{00000000-0008-0000-0A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17368</xdr:colOff>
      <xdr:row>373</xdr:row>
      <xdr:rowOff>39781</xdr:rowOff>
    </xdr:from>
    <xdr:to>
      <xdr:col>9</xdr:col>
      <xdr:colOff>369794</xdr:colOff>
      <xdr:row>398</xdr:row>
      <xdr:rowOff>77722</xdr:rowOff>
    </xdr:to>
    <xdr:graphicFrame macro="">
      <xdr:nvGraphicFramePr>
        <xdr:cNvPr id="5" name="Diagram 21">
          <a:extLst>
            <a:ext uri="{FF2B5EF4-FFF2-40B4-BE49-F238E27FC236}">
              <a16:creationId xmlns=""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47624</xdr:colOff>
      <xdr:row>653</xdr:row>
      <xdr:rowOff>28574</xdr:rowOff>
    </xdr:from>
    <xdr:to>
      <xdr:col>6</xdr:col>
      <xdr:colOff>557713</xdr:colOff>
      <xdr:row>678</xdr:row>
      <xdr:rowOff>66515</xdr:rowOff>
    </xdr:to>
    <xdr:graphicFrame macro="">
      <xdr:nvGraphicFramePr>
        <xdr:cNvPr id="6" name="Diagram 21">
          <a:extLst>
            <a:ext uri="{FF2B5EF4-FFF2-40B4-BE49-F238E27FC236}">
              <a16:creationId xmlns=""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22972</xdr:colOff>
      <xdr:row>463</xdr:row>
      <xdr:rowOff>33617</xdr:rowOff>
    </xdr:from>
    <xdr:to>
      <xdr:col>6</xdr:col>
      <xdr:colOff>533061</xdr:colOff>
      <xdr:row>488</xdr:row>
      <xdr:rowOff>71558</xdr:rowOff>
    </xdr:to>
    <xdr:graphicFrame macro="">
      <xdr:nvGraphicFramePr>
        <xdr:cNvPr id="7" name="Diagram 23">
          <a:extLst>
            <a:ext uri="{FF2B5EF4-FFF2-40B4-BE49-F238E27FC236}">
              <a16:creationId xmlns=""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63</xdr:row>
      <xdr:rowOff>38100</xdr:rowOff>
    </xdr:from>
    <xdr:to>
      <xdr:col>6</xdr:col>
      <xdr:colOff>371475</xdr:colOff>
      <xdr:row>87</xdr:row>
      <xdr:rowOff>0</xdr:rowOff>
    </xdr:to>
    <xdr:graphicFrame macro="">
      <xdr:nvGraphicFramePr>
        <xdr:cNvPr id="8" name="Diagram 15">
          <a:extLst>
            <a:ext uri="{FF2B5EF4-FFF2-40B4-BE49-F238E27FC236}">
              <a16:creationId xmlns="" xmlns:a16="http://schemas.microsoft.com/office/drawing/2014/main" id="{00000000-0008-0000-0A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5603</xdr:colOff>
      <xdr:row>877</xdr:row>
      <xdr:rowOff>8405</xdr:rowOff>
    </xdr:from>
    <xdr:to>
      <xdr:col>6</xdr:col>
      <xdr:colOff>515692</xdr:colOff>
      <xdr:row>906</xdr:row>
      <xdr:rowOff>138817</xdr:rowOff>
    </xdr:to>
    <xdr:graphicFrame macro="">
      <xdr:nvGraphicFramePr>
        <xdr:cNvPr id="9" name="Diagram 15">
          <a:extLst>
            <a:ext uri="{FF2B5EF4-FFF2-40B4-BE49-F238E27FC236}">
              <a16:creationId xmlns=""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7684</xdr:colOff>
      <xdr:row>750</xdr:row>
      <xdr:rowOff>54750</xdr:rowOff>
    </xdr:from>
    <xdr:to>
      <xdr:col>6</xdr:col>
      <xdr:colOff>517773</xdr:colOff>
      <xdr:row>780</xdr:row>
      <xdr:rowOff>28280</xdr:rowOff>
    </xdr:to>
    <xdr:graphicFrame macro="">
      <xdr:nvGraphicFramePr>
        <xdr:cNvPr id="14" name="Diagram 15">
          <a:extLst>
            <a:ext uri="{FF2B5EF4-FFF2-40B4-BE49-F238E27FC236}">
              <a16:creationId xmlns=""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8283</xdr:colOff>
      <xdr:row>91</xdr:row>
      <xdr:rowOff>37516</xdr:rowOff>
    </xdr:from>
    <xdr:to>
      <xdr:col>4</xdr:col>
      <xdr:colOff>645783</xdr:colOff>
      <xdr:row>97</xdr:row>
      <xdr:rowOff>37966</xdr:rowOff>
    </xdr:to>
    <xdr:sp macro="" textlink="">
      <xdr:nvSpPr>
        <xdr:cNvPr id="15" name="Tekstboks 14">
          <a:extLst>
            <a:ext uri="{FF2B5EF4-FFF2-40B4-BE49-F238E27FC236}">
              <a16:creationId xmlns="" xmlns:a16="http://schemas.microsoft.com/office/drawing/2014/main" id="{00000000-0008-0000-0A00-00000F000000}"/>
            </a:ext>
          </a:extLst>
        </xdr:cNvPr>
        <xdr:cNvSpPr txBox="1"/>
      </xdr:nvSpPr>
      <xdr:spPr>
        <a:xfrm>
          <a:off x="617883" y="15477541"/>
          <a:ext cx="5400000" cy="97200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Bruttoenergiforbrug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Udtrykker den samlede mængde indført primær energi, der bliver tilført for at dække hele energiforbruget. Den mængde primær energi som bliver tilført består af en blanding af brændsler og brændselsfri energi i form af vind, sol og jordvarme.</a:t>
          </a:r>
        </a:p>
      </xdr:txBody>
    </xdr:sp>
    <xdr:clientData/>
  </xdr:twoCellAnchor>
  <xdr:twoCellAnchor>
    <xdr:from>
      <xdr:col>1</xdr:col>
      <xdr:colOff>22411</xdr:colOff>
      <xdr:row>848</xdr:row>
      <xdr:rowOff>61071</xdr:rowOff>
    </xdr:from>
    <xdr:to>
      <xdr:col>4</xdr:col>
      <xdr:colOff>659911</xdr:colOff>
      <xdr:row>853</xdr:row>
      <xdr:rowOff>134471</xdr:rowOff>
    </xdr:to>
    <xdr:sp macro="" textlink="">
      <xdr:nvSpPr>
        <xdr:cNvPr id="16" name="Tekstboks 15">
          <a:extLst>
            <a:ext uri="{FF2B5EF4-FFF2-40B4-BE49-F238E27FC236}">
              <a16:creationId xmlns="" xmlns:a16="http://schemas.microsoft.com/office/drawing/2014/main" id="{00000000-0008-0000-0A00-000010000000}"/>
            </a:ext>
          </a:extLst>
        </xdr:cNvPr>
        <xdr:cNvSpPr txBox="1"/>
      </xdr:nvSpPr>
      <xdr:spPr>
        <a:xfrm>
          <a:off x="632011" y="138192621"/>
          <a:ext cx="5400000" cy="883025"/>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Slutforbrug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Udtrykker mængden af energi, der er nyttiggjort af slutbrugeren fordelt på omsætningsenheder. Slutforbrug er således den mængde energi der går til de forskellige energitjenester. </a:t>
          </a:r>
        </a:p>
      </xdr:txBody>
    </xdr:sp>
    <xdr:clientData/>
  </xdr:twoCellAnchor>
  <xdr:twoCellAnchor>
    <xdr:from>
      <xdr:col>1</xdr:col>
      <xdr:colOff>28575</xdr:colOff>
      <xdr:row>52</xdr:row>
      <xdr:rowOff>47625</xdr:rowOff>
    </xdr:from>
    <xdr:to>
      <xdr:col>4</xdr:col>
      <xdr:colOff>666075</xdr:colOff>
      <xdr:row>58</xdr:row>
      <xdr:rowOff>48075</xdr:rowOff>
    </xdr:to>
    <xdr:sp macro="" textlink="">
      <xdr:nvSpPr>
        <xdr:cNvPr id="17" name="Tekstboks 16">
          <a:extLst>
            <a:ext uri="{FF2B5EF4-FFF2-40B4-BE49-F238E27FC236}">
              <a16:creationId xmlns="" xmlns:a16="http://schemas.microsoft.com/office/drawing/2014/main" id="{00000000-0008-0000-0A00-000011000000}"/>
            </a:ext>
          </a:extLst>
        </xdr:cNvPr>
        <xdr:cNvSpPr txBox="1"/>
      </xdr:nvSpPr>
      <xdr:spPr>
        <a:xfrm>
          <a:off x="638175" y="8867775"/>
          <a:ext cx="5400000" cy="97200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Andel</a:t>
          </a:r>
          <a:r>
            <a:rPr lang="da-DK" sz="1100" b="1" i="1" baseline="0">
              <a:solidFill>
                <a:schemeClr val="dk1"/>
              </a:solidFill>
              <a:effectLst/>
              <a:latin typeface="+mn-lt"/>
              <a:ea typeface="+mn-ea"/>
              <a:cs typeface="+mn-cs"/>
            </a:rPr>
            <a:t> vedvarende energi (Global)</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VE-andelen i det udvidede endelige energiforbrug (</a:t>
          </a:r>
          <a:r>
            <a:rPr lang="da-DK"/>
            <a:t>EU’s beregningsmåde)</a:t>
          </a:r>
          <a:r>
            <a:rPr lang="da-DK" sz="1100">
              <a:solidFill>
                <a:schemeClr val="dk1"/>
              </a:solidFill>
              <a:effectLst/>
              <a:latin typeface="+mn-lt"/>
              <a:ea typeface="+mn-ea"/>
              <a:cs typeface="+mn-cs"/>
            </a:rPr>
            <a:t>. B</a:t>
          </a:r>
          <a:r>
            <a:rPr lang="da-DK"/>
            <a:t>eregnet ud fra mængden af energi fra vedvarende energikilder i det udvidede endelige energiforbrug.</a:t>
          </a:r>
          <a:endParaRPr lang="da-DK" sz="1100">
            <a:solidFill>
              <a:schemeClr val="dk1"/>
            </a:solidFill>
            <a:effectLst/>
            <a:latin typeface="+mn-lt"/>
            <a:ea typeface="+mn-ea"/>
            <a:cs typeface="+mn-cs"/>
          </a:endParaRPr>
        </a:p>
      </xdr:txBody>
    </xdr:sp>
    <xdr:clientData/>
  </xdr:twoCellAnchor>
  <xdr:twoCellAnchor>
    <xdr:from>
      <xdr:col>1</xdr:col>
      <xdr:colOff>3363</xdr:colOff>
      <xdr:row>186</xdr:row>
      <xdr:rowOff>11205</xdr:rowOff>
    </xdr:from>
    <xdr:to>
      <xdr:col>6</xdr:col>
      <xdr:colOff>495041</xdr:colOff>
      <xdr:row>210</xdr:row>
      <xdr:rowOff>52348</xdr:rowOff>
    </xdr:to>
    <xdr:graphicFrame macro="">
      <xdr:nvGraphicFramePr>
        <xdr:cNvPr id="18" name="Diagram 17">
          <a:extLst>
            <a:ext uri="{FF2B5EF4-FFF2-40B4-BE49-F238E27FC236}">
              <a16:creationId xmlns=""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3363</xdr:colOff>
      <xdr:row>215</xdr:row>
      <xdr:rowOff>11205</xdr:rowOff>
    </xdr:from>
    <xdr:to>
      <xdr:col>6</xdr:col>
      <xdr:colOff>495041</xdr:colOff>
      <xdr:row>239</xdr:row>
      <xdr:rowOff>52348</xdr:rowOff>
    </xdr:to>
    <xdr:graphicFrame macro="">
      <xdr:nvGraphicFramePr>
        <xdr:cNvPr id="19" name="Diagram 18">
          <a:extLst>
            <a:ext uri="{FF2B5EF4-FFF2-40B4-BE49-F238E27FC236}">
              <a16:creationId xmlns="" xmlns:a16="http://schemas.microsoft.com/office/drawing/2014/main" id="{00000000-0008-0000-0A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27776</xdr:colOff>
      <xdr:row>127</xdr:row>
      <xdr:rowOff>30653</xdr:rowOff>
    </xdr:from>
    <xdr:to>
      <xdr:col>7</xdr:col>
      <xdr:colOff>266700</xdr:colOff>
      <xdr:row>151</xdr:row>
      <xdr:rowOff>104453</xdr:rowOff>
    </xdr:to>
    <xdr:graphicFrame macro="">
      <xdr:nvGraphicFramePr>
        <xdr:cNvPr id="20" name="Diagram 15">
          <a:extLst>
            <a:ext uri="{FF2B5EF4-FFF2-40B4-BE49-F238E27FC236}">
              <a16:creationId xmlns="" xmlns:a16="http://schemas.microsoft.com/office/drawing/2014/main" id="{00000000-0008-0000-0A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2425</xdr:colOff>
      <xdr:row>156</xdr:row>
      <xdr:rowOff>36739</xdr:rowOff>
    </xdr:from>
    <xdr:to>
      <xdr:col>6</xdr:col>
      <xdr:colOff>515875</xdr:colOff>
      <xdr:row>181</xdr:row>
      <xdr:rowOff>74681</xdr:rowOff>
    </xdr:to>
    <xdr:graphicFrame macro="">
      <xdr:nvGraphicFramePr>
        <xdr:cNvPr id="21" name="Diagram 20">
          <a:extLst>
            <a:ext uri="{FF2B5EF4-FFF2-40B4-BE49-F238E27FC236}">
              <a16:creationId xmlns="" xmlns:a16="http://schemas.microsoft.com/office/drawing/2014/main" id="{00000000-0008-0000-0A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22413</xdr:colOff>
      <xdr:row>273</xdr:row>
      <xdr:rowOff>44821</xdr:rowOff>
    </xdr:from>
    <xdr:to>
      <xdr:col>6</xdr:col>
      <xdr:colOff>532502</xdr:colOff>
      <xdr:row>298</xdr:row>
      <xdr:rowOff>82762</xdr:rowOff>
    </xdr:to>
    <xdr:graphicFrame macro="">
      <xdr:nvGraphicFramePr>
        <xdr:cNvPr id="22" name="Diagram 21">
          <a:extLst>
            <a:ext uri="{FF2B5EF4-FFF2-40B4-BE49-F238E27FC236}">
              <a16:creationId xmlns="" xmlns:a16="http://schemas.microsoft.com/office/drawing/2014/main" id="{00000000-0008-0000-0A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27214</xdr:colOff>
      <xdr:row>612</xdr:row>
      <xdr:rowOff>23933</xdr:rowOff>
    </xdr:from>
    <xdr:to>
      <xdr:col>6</xdr:col>
      <xdr:colOff>537303</xdr:colOff>
      <xdr:row>637</xdr:row>
      <xdr:rowOff>61875</xdr:rowOff>
    </xdr:to>
    <xdr:graphicFrame macro="">
      <xdr:nvGraphicFramePr>
        <xdr:cNvPr id="23" name="Diagram 22">
          <a:extLst>
            <a:ext uri="{FF2B5EF4-FFF2-40B4-BE49-F238E27FC236}">
              <a16:creationId xmlns="" xmlns:a16="http://schemas.microsoft.com/office/drawing/2014/main" id="{00000000-0008-0000-0A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27216</xdr:colOff>
      <xdr:row>344</xdr:row>
      <xdr:rowOff>36738</xdr:rowOff>
    </xdr:from>
    <xdr:to>
      <xdr:col>6</xdr:col>
      <xdr:colOff>518894</xdr:colOff>
      <xdr:row>368</xdr:row>
      <xdr:rowOff>77881</xdr:rowOff>
    </xdr:to>
    <xdr:graphicFrame macro="">
      <xdr:nvGraphicFramePr>
        <xdr:cNvPr id="24" name="Diagram 23">
          <a:extLst>
            <a:ext uri="{FF2B5EF4-FFF2-40B4-BE49-F238E27FC236}">
              <a16:creationId xmlns="" xmlns:a16="http://schemas.microsoft.com/office/drawing/2014/main" id="{00000000-0008-0000-0A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560292</xdr:colOff>
      <xdr:row>419</xdr:row>
      <xdr:rowOff>26173</xdr:rowOff>
    </xdr:from>
    <xdr:to>
      <xdr:col>6</xdr:col>
      <xdr:colOff>465263</xdr:colOff>
      <xdr:row>444</xdr:row>
      <xdr:rowOff>64115</xdr:rowOff>
    </xdr:to>
    <xdr:graphicFrame macro="">
      <xdr:nvGraphicFramePr>
        <xdr:cNvPr id="25" name="Diagram 24">
          <a:extLst>
            <a:ext uri="{FF2B5EF4-FFF2-40B4-BE49-F238E27FC236}">
              <a16:creationId xmlns="" xmlns:a16="http://schemas.microsoft.com/office/drawing/2014/main" id="{00000000-0008-0000-0A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493</xdr:row>
      <xdr:rowOff>0</xdr:rowOff>
    </xdr:from>
    <xdr:to>
      <xdr:col>6</xdr:col>
      <xdr:colOff>510089</xdr:colOff>
      <xdr:row>518</xdr:row>
      <xdr:rowOff>37941</xdr:rowOff>
    </xdr:to>
    <xdr:graphicFrame macro="">
      <xdr:nvGraphicFramePr>
        <xdr:cNvPr id="26" name="Diagram 23">
          <a:extLst>
            <a:ext uri="{FF2B5EF4-FFF2-40B4-BE49-F238E27FC236}">
              <a16:creationId xmlns="" xmlns:a16="http://schemas.microsoft.com/office/drawing/2014/main" id="{00000000-0008-0000-0A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11766</xdr:colOff>
      <xdr:row>523</xdr:row>
      <xdr:rowOff>44823</xdr:rowOff>
    </xdr:from>
    <xdr:to>
      <xdr:col>6</xdr:col>
      <xdr:colOff>521855</xdr:colOff>
      <xdr:row>548</xdr:row>
      <xdr:rowOff>82764</xdr:rowOff>
    </xdr:to>
    <xdr:graphicFrame macro="">
      <xdr:nvGraphicFramePr>
        <xdr:cNvPr id="27" name="Diagram 23">
          <a:extLst>
            <a:ext uri="{FF2B5EF4-FFF2-40B4-BE49-F238E27FC236}">
              <a16:creationId xmlns="" xmlns:a16="http://schemas.microsoft.com/office/drawing/2014/main" id="{00000000-0008-0000-0A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11205</xdr:colOff>
      <xdr:row>553</xdr:row>
      <xdr:rowOff>33616</xdr:rowOff>
    </xdr:from>
    <xdr:to>
      <xdr:col>4</xdr:col>
      <xdr:colOff>649940</xdr:colOff>
      <xdr:row>559</xdr:row>
      <xdr:rowOff>100853</xdr:rowOff>
    </xdr:to>
    <xdr:sp macro="" textlink="">
      <xdr:nvSpPr>
        <xdr:cNvPr id="28" name="Tekstboks 27">
          <a:extLst>
            <a:ext uri="{FF2B5EF4-FFF2-40B4-BE49-F238E27FC236}">
              <a16:creationId xmlns="" xmlns:a16="http://schemas.microsoft.com/office/drawing/2014/main" id="{00000000-0008-0000-0A00-00001C000000}"/>
            </a:ext>
          </a:extLst>
        </xdr:cNvPr>
        <xdr:cNvSpPr txBox="1"/>
      </xdr:nvSpPr>
      <xdr:spPr>
        <a:xfrm>
          <a:off x="620805" y="89911516"/>
          <a:ext cx="5401235" cy="1038787"/>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CO</a:t>
          </a:r>
          <a:r>
            <a:rPr lang="da-DK" sz="1100" b="1" i="1" baseline="-25000">
              <a:solidFill>
                <a:schemeClr val="dk1"/>
              </a:solidFill>
              <a:effectLst/>
              <a:latin typeface="+mn-lt"/>
              <a:ea typeface="+mn-ea"/>
              <a:cs typeface="+mn-cs"/>
            </a:rPr>
            <a:t>2</a:t>
          </a:r>
          <a:r>
            <a:rPr lang="da-DK" sz="1100" b="1" i="1">
              <a:solidFill>
                <a:schemeClr val="dk1"/>
              </a:solidFill>
              <a:effectLst/>
              <a:latin typeface="+mn-lt"/>
              <a:ea typeface="+mn-ea"/>
              <a:cs typeface="+mn-cs"/>
            </a:rPr>
            <a:t>-udledning</a:t>
          </a:r>
          <a:endParaRPr lang="da-DK" sz="1100" b="1" i="1" baseline="0">
            <a:solidFill>
              <a:schemeClr val="dk1"/>
            </a:solidFill>
            <a:effectLst/>
            <a:latin typeface="+mn-lt"/>
            <a:ea typeface="+mn-ea"/>
            <a:cs typeface="+mn-cs"/>
          </a:endParaRPr>
        </a:p>
        <a:p>
          <a:r>
            <a:rPr lang="da-DK" sz="1100" b="0" i="0" baseline="0">
              <a:solidFill>
                <a:schemeClr val="dk1"/>
              </a:solidFill>
              <a:effectLst/>
              <a:latin typeface="+mn-lt"/>
              <a:ea typeface="+mn-ea"/>
              <a:cs typeface="+mn-cs"/>
            </a:rPr>
            <a:t>Udtrykker den emission af CO</a:t>
          </a:r>
          <a:r>
            <a:rPr lang="da-DK" sz="1100" b="0" i="0" baseline="-25000">
              <a:solidFill>
                <a:schemeClr val="dk1"/>
              </a:solidFill>
              <a:effectLst/>
              <a:latin typeface="+mn-lt"/>
              <a:ea typeface="+mn-ea"/>
              <a:cs typeface="+mn-cs"/>
            </a:rPr>
            <a:t>2</a:t>
          </a:r>
          <a:r>
            <a:rPr lang="da-DK" sz="1100" b="0" i="0" baseline="0">
              <a:solidFill>
                <a:schemeClr val="dk1"/>
              </a:solidFill>
              <a:effectLst/>
              <a:latin typeface="+mn-lt"/>
              <a:ea typeface="+mn-ea"/>
              <a:cs typeface="+mn-cs"/>
            </a:rPr>
            <a:t> (kuldioxid), som fremkommer ved afbrænding af brændsler til energianvendelse. Emissionsfaktoren for brændslerne er opgjort jf. </a:t>
          </a:r>
          <a:r>
            <a:rPr lang="da-DK" sz="1100" i="0">
              <a:solidFill>
                <a:schemeClr val="dk1"/>
              </a:solidFill>
              <a:effectLst/>
              <a:latin typeface="+mn-lt"/>
              <a:ea typeface="+mn-ea"/>
              <a:cs typeface="+mn-cs"/>
            </a:rPr>
            <a:t>Energistyrelsen og DCE – Nationalt Center for Miljø og Energi</a:t>
          </a:r>
          <a:r>
            <a:rPr lang="da-DK" sz="1100" b="0" i="0" baseline="0">
              <a:solidFill>
                <a:schemeClr val="dk1"/>
              </a:solidFill>
              <a:effectLst/>
              <a:latin typeface="+mn-lt"/>
              <a:ea typeface="+mn-ea"/>
              <a:cs typeface="+mn-cs"/>
            </a:rPr>
            <a:t>. CO</a:t>
          </a:r>
          <a:r>
            <a:rPr lang="da-DK" sz="1100" b="0" i="0" baseline="-25000">
              <a:solidFill>
                <a:schemeClr val="dk1"/>
              </a:solidFill>
              <a:effectLst/>
              <a:latin typeface="+mn-lt"/>
              <a:ea typeface="+mn-ea"/>
              <a:cs typeface="+mn-cs"/>
            </a:rPr>
            <a:t>2</a:t>
          </a:r>
          <a:r>
            <a:rPr lang="da-DK" sz="1100" b="0" i="0" baseline="0">
              <a:solidFill>
                <a:schemeClr val="dk1"/>
              </a:solidFill>
              <a:effectLst/>
              <a:latin typeface="+mn-lt"/>
              <a:ea typeface="+mn-ea"/>
              <a:cs typeface="+mn-cs"/>
            </a:rPr>
            <a:t>-emission fra andre kilder medtages ikke  i energiregnskabet (landbrug, visse industriprocesser og flaring af gas i Nordsøen ).</a:t>
          </a:r>
        </a:p>
      </xdr:txBody>
    </xdr:sp>
    <xdr:clientData/>
  </xdr:twoCellAnchor>
  <xdr:twoCellAnchor>
    <xdr:from>
      <xdr:col>1</xdr:col>
      <xdr:colOff>66674</xdr:colOff>
      <xdr:row>683</xdr:row>
      <xdr:rowOff>28574</xdr:rowOff>
    </xdr:from>
    <xdr:to>
      <xdr:col>6</xdr:col>
      <xdr:colOff>576763</xdr:colOff>
      <xdr:row>708</xdr:row>
      <xdr:rowOff>66516</xdr:rowOff>
    </xdr:to>
    <xdr:graphicFrame macro="">
      <xdr:nvGraphicFramePr>
        <xdr:cNvPr id="29" name="Diagram 21">
          <a:extLst>
            <a:ext uri="{FF2B5EF4-FFF2-40B4-BE49-F238E27FC236}">
              <a16:creationId xmlns="" xmlns:a16="http://schemas.microsoft.com/office/drawing/2014/main" id="{00000000-0008-0000-0A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33618</xdr:colOff>
      <xdr:row>720</xdr:row>
      <xdr:rowOff>145677</xdr:rowOff>
    </xdr:from>
    <xdr:to>
      <xdr:col>4</xdr:col>
      <xdr:colOff>674479</xdr:colOff>
      <xdr:row>726</xdr:row>
      <xdr:rowOff>141084</xdr:rowOff>
    </xdr:to>
    <xdr:sp macro="" textlink="">
      <xdr:nvSpPr>
        <xdr:cNvPr id="30" name="Tekstboks 29">
          <a:extLst>
            <a:ext uri="{FF2B5EF4-FFF2-40B4-BE49-F238E27FC236}">
              <a16:creationId xmlns="" xmlns:a16="http://schemas.microsoft.com/office/drawing/2014/main" id="{00000000-0008-0000-0A00-00001E000000}"/>
            </a:ext>
          </a:extLst>
        </xdr:cNvPr>
        <xdr:cNvSpPr txBox="1"/>
      </xdr:nvSpPr>
      <xdr:spPr>
        <a:xfrm>
          <a:off x="643218" y="117446052"/>
          <a:ext cx="5403361" cy="966957"/>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Udvidede endelige energiforbrug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Det udvidede endelige energiforbrug fremkommer ved at tage det endelige energiforbrug og lægge distributionstabet fra elektricitets- og fjernvarmedistribution oveni, samt egetforbruget af elektricitet og fjernvarme ved samproduktion af disse på værker.</a:t>
          </a:r>
        </a:p>
      </xdr:txBody>
    </xdr:sp>
    <xdr:clientData/>
  </xdr:twoCellAnchor>
  <xdr:twoCellAnchor>
    <xdr:from>
      <xdr:col>1</xdr:col>
      <xdr:colOff>44823</xdr:colOff>
      <xdr:row>713</xdr:row>
      <xdr:rowOff>112058</xdr:rowOff>
    </xdr:from>
    <xdr:to>
      <xdr:col>4</xdr:col>
      <xdr:colOff>685684</xdr:colOff>
      <xdr:row>719</xdr:row>
      <xdr:rowOff>107466</xdr:rowOff>
    </xdr:to>
    <xdr:sp macro="" textlink="">
      <xdr:nvSpPr>
        <xdr:cNvPr id="31" name="Tekstboks 30">
          <a:extLst>
            <a:ext uri="{FF2B5EF4-FFF2-40B4-BE49-F238E27FC236}">
              <a16:creationId xmlns="" xmlns:a16="http://schemas.microsoft.com/office/drawing/2014/main" id="{00000000-0008-0000-0A00-00001F000000}"/>
            </a:ext>
          </a:extLst>
        </xdr:cNvPr>
        <xdr:cNvSpPr txBox="1"/>
      </xdr:nvSpPr>
      <xdr:spPr>
        <a:xfrm>
          <a:off x="654423" y="116278958"/>
          <a:ext cx="5403361" cy="966958"/>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Endeligt energiforbrug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Udtrykker mængden af energi leveret til slutbrugeren (an forbruger), eksempelvis boliger, offentlig service eller fremstillingsvirksomheder. Den leverede energi anvendes derefter til fremstilling af varer og tjenester, rumopvarmning, belysning og andet apparatforbrug samt transport.</a:t>
          </a:r>
        </a:p>
      </xdr:txBody>
    </xdr:sp>
    <xdr:clientData/>
  </xdr:twoCellAnchor>
  <xdr:twoCellAnchor>
    <xdr:from>
      <xdr:col>0</xdr:col>
      <xdr:colOff>609599</xdr:colOff>
      <xdr:row>785</xdr:row>
      <xdr:rowOff>23811</xdr:rowOff>
    </xdr:from>
    <xdr:to>
      <xdr:col>6</xdr:col>
      <xdr:colOff>733424</xdr:colOff>
      <xdr:row>814</xdr:row>
      <xdr:rowOff>95249</xdr:rowOff>
    </xdr:to>
    <xdr:graphicFrame macro="">
      <xdr:nvGraphicFramePr>
        <xdr:cNvPr id="32" name="Diagram 31">
          <a:extLst>
            <a:ext uri="{FF2B5EF4-FFF2-40B4-BE49-F238E27FC236}">
              <a16:creationId xmlns="" xmlns:a16="http://schemas.microsoft.com/office/drawing/2014/main" id="{00000000-0008-0000-0A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1361</xdr:colOff>
      <xdr:row>819</xdr:row>
      <xdr:rowOff>12926</xdr:rowOff>
    </xdr:from>
    <xdr:to>
      <xdr:col>6</xdr:col>
      <xdr:colOff>518892</xdr:colOff>
      <xdr:row>843</xdr:row>
      <xdr:rowOff>86727</xdr:rowOff>
    </xdr:to>
    <xdr:graphicFrame macro="">
      <xdr:nvGraphicFramePr>
        <xdr:cNvPr id="33" name="Diagram 32">
          <a:extLst>
            <a:ext uri="{FF2B5EF4-FFF2-40B4-BE49-F238E27FC236}">
              <a16:creationId xmlns="" xmlns:a16="http://schemas.microsoft.com/office/drawing/2014/main" id="{00000000-0008-0000-0A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11205</xdr:colOff>
      <xdr:row>955</xdr:row>
      <xdr:rowOff>34737</xdr:rowOff>
    </xdr:from>
    <xdr:to>
      <xdr:col>6</xdr:col>
      <xdr:colOff>521294</xdr:colOff>
      <xdr:row>980</xdr:row>
      <xdr:rowOff>72679</xdr:rowOff>
    </xdr:to>
    <xdr:graphicFrame macro="">
      <xdr:nvGraphicFramePr>
        <xdr:cNvPr id="34" name="Diagram 33">
          <a:extLst>
            <a:ext uri="{FF2B5EF4-FFF2-40B4-BE49-F238E27FC236}">
              <a16:creationId xmlns="" xmlns:a16="http://schemas.microsoft.com/office/drawing/2014/main" id="{00000000-0008-0000-0A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925</xdr:row>
      <xdr:rowOff>23531</xdr:rowOff>
    </xdr:from>
    <xdr:to>
      <xdr:col>6</xdr:col>
      <xdr:colOff>510089</xdr:colOff>
      <xdr:row>950</xdr:row>
      <xdr:rowOff>61472</xdr:rowOff>
    </xdr:to>
    <xdr:graphicFrame macro="">
      <xdr:nvGraphicFramePr>
        <xdr:cNvPr id="35" name="Diagram 34">
          <a:extLst>
            <a:ext uri="{FF2B5EF4-FFF2-40B4-BE49-F238E27FC236}">
              <a16:creationId xmlns="" xmlns:a16="http://schemas.microsoft.com/office/drawing/2014/main" id="{00000000-0008-0000-0A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602876</xdr:colOff>
      <xdr:row>985</xdr:row>
      <xdr:rowOff>55750</xdr:rowOff>
    </xdr:from>
    <xdr:to>
      <xdr:col>6</xdr:col>
      <xdr:colOff>511208</xdr:colOff>
      <xdr:row>1009</xdr:row>
      <xdr:rowOff>129551</xdr:rowOff>
    </xdr:to>
    <xdr:graphicFrame macro="">
      <xdr:nvGraphicFramePr>
        <xdr:cNvPr id="36" name="Diagram 35">
          <a:extLst>
            <a:ext uri="{FF2B5EF4-FFF2-40B4-BE49-F238E27FC236}">
              <a16:creationId xmlns="" xmlns:a16="http://schemas.microsoft.com/office/drawing/2014/main" id="{00000000-0008-0000-0A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110140</xdr:colOff>
      <xdr:row>2</xdr:row>
      <xdr:rowOff>56030</xdr:rowOff>
    </xdr:from>
    <xdr:to>
      <xdr:col>15</xdr:col>
      <xdr:colOff>461656</xdr:colOff>
      <xdr:row>48</xdr:row>
      <xdr:rowOff>0</xdr:rowOff>
    </xdr:to>
    <xdr:grpSp>
      <xdr:nvGrpSpPr>
        <xdr:cNvPr id="10" name="Gruppe 9">
          <a:extLst>
            <a:ext uri="{FF2B5EF4-FFF2-40B4-BE49-F238E27FC236}">
              <a16:creationId xmlns="" xmlns:a16="http://schemas.microsoft.com/office/drawing/2014/main" id="{74281BFA-F55E-4EA8-AF09-1B81934247EA}"/>
            </a:ext>
          </a:extLst>
        </xdr:cNvPr>
        <xdr:cNvGrpSpPr/>
      </xdr:nvGrpSpPr>
      <xdr:grpSpPr>
        <a:xfrm>
          <a:off x="110140" y="518673"/>
          <a:ext cx="16693695" cy="7455113"/>
          <a:chOff x="110140" y="513230"/>
          <a:chExt cx="16639266" cy="7392520"/>
        </a:xfrm>
      </xdr:grpSpPr>
      <xdr:grpSp>
        <xdr:nvGrpSpPr>
          <xdr:cNvPr id="81" name="Gruppe 80">
            <a:extLst>
              <a:ext uri="{FF2B5EF4-FFF2-40B4-BE49-F238E27FC236}">
                <a16:creationId xmlns="" xmlns:a16="http://schemas.microsoft.com/office/drawing/2014/main" id="{00000000-0008-0000-0A00-000051000000}"/>
              </a:ext>
            </a:extLst>
          </xdr:cNvPr>
          <xdr:cNvGrpSpPr/>
        </xdr:nvGrpSpPr>
        <xdr:grpSpPr>
          <a:xfrm>
            <a:off x="112741" y="513230"/>
            <a:ext cx="3239870" cy="1908865"/>
            <a:chOff x="112742" y="504265"/>
            <a:chExt cx="3240961" cy="1848969"/>
          </a:xfrm>
        </xdr:grpSpPr>
        <xdr:sp macro="" textlink="">
          <xdr:nvSpPr>
            <xdr:cNvPr id="75" name="Rektangel 74">
              <a:extLst>
                <a:ext uri="{FF2B5EF4-FFF2-40B4-BE49-F238E27FC236}">
                  <a16:creationId xmlns="" xmlns:a16="http://schemas.microsoft.com/office/drawing/2014/main" id="{00000000-0008-0000-0A00-00004B000000}"/>
                </a:ext>
              </a:extLst>
            </xdr:cNvPr>
            <xdr:cNvSpPr/>
          </xdr:nvSpPr>
          <xdr:spPr>
            <a:xfrm>
              <a:off x="112742" y="504265"/>
              <a:ext cx="3240961" cy="1848969"/>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VE%</a:t>
              </a:r>
            </a:p>
          </xdr:txBody>
        </xdr:sp>
        <xdr:sp macro="" textlink="">
          <xdr:nvSpPr>
            <xdr:cNvPr id="76" name="Rektangel 75">
              <a:hlinkClick xmlns:r="http://schemas.openxmlformats.org/officeDocument/2006/relationships" r:id="rId26"/>
              <a:extLst>
                <a:ext uri="{FF2B5EF4-FFF2-40B4-BE49-F238E27FC236}">
                  <a16:creationId xmlns="" xmlns:a16="http://schemas.microsoft.com/office/drawing/2014/main" id="{00000000-0008-0000-0A00-00004C000000}"/>
                </a:ext>
              </a:extLst>
            </xdr:cNvPr>
            <xdr:cNvSpPr/>
          </xdr:nvSpPr>
          <xdr:spPr>
            <a:xfrm>
              <a:off x="290419" y="1312322"/>
              <a:ext cx="2877983" cy="766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a:t>
              </a:r>
            </a:p>
          </xdr:txBody>
        </xdr:sp>
      </xdr:grpSp>
      <xdr:grpSp>
        <xdr:nvGrpSpPr>
          <xdr:cNvPr id="79" name="Gruppe 78">
            <a:extLst>
              <a:ext uri="{FF2B5EF4-FFF2-40B4-BE49-F238E27FC236}">
                <a16:creationId xmlns="" xmlns:a16="http://schemas.microsoft.com/office/drawing/2014/main" id="{00000000-0008-0000-0A00-00004F000000}"/>
              </a:ext>
            </a:extLst>
          </xdr:cNvPr>
          <xdr:cNvGrpSpPr/>
        </xdr:nvGrpSpPr>
        <xdr:grpSpPr>
          <a:xfrm>
            <a:off x="110140" y="2537790"/>
            <a:ext cx="3239870" cy="4442448"/>
            <a:chOff x="110140" y="2465299"/>
            <a:chExt cx="3240961" cy="4303054"/>
          </a:xfrm>
        </xdr:grpSpPr>
        <xdr:sp macro="" textlink="">
          <xdr:nvSpPr>
            <xdr:cNvPr id="70" name="Rektangel 69">
              <a:extLst>
                <a:ext uri="{FF2B5EF4-FFF2-40B4-BE49-F238E27FC236}">
                  <a16:creationId xmlns="" xmlns:a16="http://schemas.microsoft.com/office/drawing/2014/main" id="{00000000-0008-0000-0A00-000046000000}"/>
                </a:ext>
              </a:extLst>
            </xdr:cNvPr>
            <xdr:cNvSpPr/>
          </xdr:nvSpPr>
          <xdr:spPr>
            <a:xfrm>
              <a:off x="110140" y="2465299"/>
              <a:ext cx="3240961" cy="4303054"/>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CO</a:t>
              </a:r>
              <a:r>
                <a:rPr lang="da-DK" sz="2000" b="1" baseline="-25000">
                  <a:solidFill>
                    <a:sysClr val="windowText" lastClr="000000"/>
                  </a:solidFill>
                </a:rPr>
                <a:t>2</a:t>
              </a:r>
              <a:r>
                <a:rPr lang="da-DK" sz="2000" b="1">
                  <a:solidFill>
                    <a:sysClr val="windowText" lastClr="000000"/>
                  </a:solidFill>
                </a:rPr>
                <a:t>-udledning</a:t>
              </a:r>
            </a:p>
          </xdr:txBody>
        </xdr:sp>
        <xdr:sp macro="" textlink="">
          <xdr:nvSpPr>
            <xdr:cNvPr id="71" name="Rektangel 70">
              <a:hlinkClick xmlns:r="http://schemas.openxmlformats.org/officeDocument/2006/relationships" r:id="rId27"/>
              <a:extLst>
                <a:ext uri="{FF2B5EF4-FFF2-40B4-BE49-F238E27FC236}">
                  <a16:creationId xmlns="" xmlns:a16="http://schemas.microsoft.com/office/drawing/2014/main" id="{00000000-0008-0000-0A00-000047000000}"/>
                </a:ext>
              </a:extLst>
            </xdr:cNvPr>
            <xdr:cNvSpPr/>
          </xdr:nvSpPr>
          <xdr:spPr>
            <a:xfrm>
              <a:off x="274910" y="3091468"/>
              <a:ext cx="2886644" cy="759982"/>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CO2-udledning fordelt på brændsler</a:t>
              </a:r>
            </a:p>
          </xdr:txBody>
        </xdr:sp>
        <xdr:sp macro="" textlink="">
          <xdr:nvSpPr>
            <xdr:cNvPr id="72" name="Rektangel 71">
              <a:hlinkClick xmlns:r="http://schemas.openxmlformats.org/officeDocument/2006/relationships" r:id="rId28"/>
              <a:extLst>
                <a:ext uri="{FF2B5EF4-FFF2-40B4-BE49-F238E27FC236}">
                  <a16:creationId xmlns="" xmlns:a16="http://schemas.microsoft.com/office/drawing/2014/main" id="{00000000-0008-0000-0A00-000048000000}"/>
                </a:ext>
              </a:extLst>
            </xdr:cNvPr>
            <xdr:cNvSpPr/>
          </xdr:nvSpPr>
          <xdr:spPr>
            <a:xfrm>
              <a:off x="274910" y="4003466"/>
              <a:ext cx="2886644"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CO2-udledning opdelt på brændsler for basisår</a:t>
              </a:r>
            </a:p>
          </xdr:txBody>
        </xdr:sp>
        <xdr:sp macro="" textlink="">
          <xdr:nvSpPr>
            <xdr:cNvPr id="73" name="Rektangel 72">
              <a:hlinkClick xmlns:r="http://schemas.openxmlformats.org/officeDocument/2006/relationships" r:id="rId29"/>
              <a:extLst>
                <a:ext uri="{FF2B5EF4-FFF2-40B4-BE49-F238E27FC236}">
                  <a16:creationId xmlns="" xmlns:a16="http://schemas.microsoft.com/office/drawing/2014/main" id="{00000000-0008-0000-0A00-000049000000}"/>
                </a:ext>
              </a:extLst>
            </xdr:cNvPr>
            <xdr:cNvSpPr/>
          </xdr:nvSpPr>
          <xdr:spPr>
            <a:xfrm>
              <a:off x="286116" y="4889524"/>
              <a:ext cx="2886644" cy="759984"/>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CO2-udledning fordelt på omsætningsenheder</a:t>
              </a:r>
            </a:p>
          </xdr:txBody>
        </xdr:sp>
        <xdr:sp macro="" textlink="">
          <xdr:nvSpPr>
            <xdr:cNvPr id="74" name="Rektangel 73">
              <a:hlinkClick xmlns:r="http://schemas.openxmlformats.org/officeDocument/2006/relationships" r:id="rId30"/>
              <a:extLst>
                <a:ext uri="{FF2B5EF4-FFF2-40B4-BE49-F238E27FC236}">
                  <a16:creationId xmlns="" xmlns:a16="http://schemas.microsoft.com/office/drawing/2014/main" id="{00000000-0008-0000-0A00-00004A000000}"/>
                </a:ext>
              </a:extLst>
            </xdr:cNvPr>
            <xdr:cNvSpPr/>
          </xdr:nvSpPr>
          <xdr:spPr>
            <a:xfrm>
              <a:off x="287797" y="5774230"/>
              <a:ext cx="2886644"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CO2-udledning fordelt på omsætningsenheder for basisår</a:t>
              </a:r>
            </a:p>
          </xdr:txBody>
        </xdr:sp>
      </xdr:grpSp>
      <xdr:grpSp>
        <xdr:nvGrpSpPr>
          <xdr:cNvPr id="85" name="Gruppe 84">
            <a:extLst>
              <a:ext uri="{FF2B5EF4-FFF2-40B4-BE49-F238E27FC236}">
                <a16:creationId xmlns="" xmlns:a16="http://schemas.microsoft.com/office/drawing/2014/main" id="{00000000-0008-0000-0A00-000055000000}"/>
              </a:ext>
            </a:extLst>
          </xdr:cNvPr>
          <xdr:cNvGrpSpPr/>
        </xdr:nvGrpSpPr>
        <xdr:grpSpPr>
          <a:xfrm>
            <a:off x="13508815" y="528930"/>
            <a:ext cx="3240591" cy="4565580"/>
            <a:chOff x="13513327" y="519472"/>
            <a:chExt cx="3241682" cy="4422322"/>
          </a:xfrm>
        </xdr:grpSpPr>
        <xdr:sp macro="" textlink="">
          <xdr:nvSpPr>
            <xdr:cNvPr id="65" name="Rektangel 64">
              <a:extLst>
                <a:ext uri="{FF2B5EF4-FFF2-40B4-BE49-F238E27FC236}">
                  <a16:creationId xmlns="" xmlns:a16="http://schemas.microsoft.com/office/drawing/2014/main" id="{00000000-0008-0000-0A00-000041000000}"/>
                </a:ext>
              </a:extLst>
            </xdr:cNvPr>
            <xdr:cNvSpPr/>
          </xdr:nvSpPr>
          <xdr:spPr>
            <a:xfrm>
              <a:off x="13513327" y="519472"/>
              <a:ext cx="3241682" cy="4422322"/>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Balancer</a:t>
              </a:r>
            </a:p>
          </xdr:txBody>
        </xdr:sp>
        <xdr:sp macro="" textlink="">
          <xdr:nvSpPr>
            <xdr:cNvPr id="66" name="Rektangel 65">
              <a:hlinkClick xmlns:r="http://schemas.openxmlformats.org/officeDocument/2006/relationships" r:id="rId31"/>
              <a:extLst>
                <a:ext uri="{FF2B5EF4-FFF2-40B4-BE49-F238E27FC236}">
                  <a16:creationId xmlns="" xmlns:a16="http://schemas.microsoft.com/office/drawing/2014/main" id="{00000000-0008-0000-0A00-000042000000}"/>
                </a:ext>
              </a:extLst>
            </xdr:cNvPr>
            <xdr:cNvSpPr/>
          </xdr:nvSpPr>
          <xdr:spPr>
            <a:xfrm>
              <a:off x="13689896" y="3939508"/>
              <a:ext cx="2885043" cy="76638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Fjernvarmebalance </a:t>
              </a:r>
            </a:p>
            <a:p>
              <a:pPr algn="ctr"/>
              <a:r>
                <a:rPr lang="da-DK" sz="1400" b="1"/>
                <a:t> (produktion fordelt på brændsel)</a:t>
              </a:r>
            </a:p>
          </xdr:txBody>
        </xdr:sp>
        <xdr:sp macro="" textlink="">
          <xdr:nvSpPr>
            <xdr:cNvPr id="67" name="Rektangel 66">
              <a:hlinkClick xmlns:r="http://schemas.openxmlformats.org/officeDocument/2006/relationships" r:id="rId32"/>
              <a:extLst>
                <a:ext uri="{FF2B5EF4-FFF2-40B4-BE49-F238E27FC236}">
                  <a16:creationId xmlns="" xmlns:a16="http://schemas.microsoft.com/office/drawing/2014/main" id="{00000000-0008-0000-0A00-000043000000}"/>
                </a:ext>
              </a:extLst>
            </xdr:cNvPr>
            <xdr:cNvSpPr/>
          </xdr:nvSpPr>
          <xdr:spPr>
            <a:xfrm>
              <a:off x="13685172" y="1247455"/>
              <a:ext cx="2885043"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Elbalance </a:t>
              </a:r>
            </a:p>
            <a:p>
              <a:pPr algn="ctr"/>
              <a:r>
                <a:rPr lang="da-DK" sz="1400" b="1"/>
                <a:t>(produktion fordelt på anlægstype)</a:t>
              </a:r>
            </a:p>
          </xdr:txBody>
        </xdr:sp>
        <xdr:sp macro="" textlink="">
          <xdr:nvSpPr>
            <xdr:cNvPr id="68" name="Rektangel 67">
              <a:hlinkClick xmlns:r="http://schemas.openxmlformats.org/officeDocument/2006/relationships" r:id="rId33"/>
              <a:extLst>
                <a:ext uri="{FF2B5EF4-FFF2-40B4-BE49-F238E27FC236}">
                  <a16:creationId xmlns="" xmlns:a16="http://schemas.microsoft.com/office/drawing/2014/main" id="{00000000-0008-0000-0A00-000044000000}"/>
                </a:ext>
              </a:extLst>
            </xdr:cNvPr>
            <xdr:cNvSpPr/>
          </xdr:nvSpPr>
          <xdr:spPr>
            <a:xfrm>
              <a:off x="13686855" y="2154331"/>
              <a:ext cx="2885043" cy="759984"/>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Elbalance </a:t>
              </a:r>
            </a:p>
            <a:p>
              <a:pPr algn="ctr"/>
              <a:r>
                <a:rPr lang="da-DK" sz="1400" b="1"/>
                <a:t>(produktion fordelt på brændsel)</a:t>
              </a:r>
            </a:p>
          </xdr:txBody>
        </xdr:sp>
        <xdr:sp macro="" textlink="">
          <xdr:nvSpPr>
            <xdr:cNvPr id="69" name="Rektangel 68">
              <a:hlinkClick xmlns:r="http://schemas.openxmlformats.org/officeDocument/2006/relationships" r:id="rId34"/>
              <a:extLst>
                <a:ext uri="{FF2B5EF4-FFF2-40B4-BE49-F238E27FC236}">
                  <a16:creationId xmlns="" xmlns:a16="http://schemas.microsoft.com/office/drawing/2014/main" id="{00000000-0008-0000-0A00-000045000000}"/>
                </a:ext>
              </a:extLst>
            </xdr:cNvPr>
            <xdr:cNvSpPr/>
          </xdr:nvSpPr>
          <xdr:spPr>
            <a:xfrm>
              <a:off x="13694379" y="3047521"/>
              <a:ext cx="2885043"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Fjernvarmebalance </a:t>
              </a:r>
            </a:p>
            <a:p>
              <a:pPr algn="ctr"/>
              <a:r>
                <a:rPr lang="da-DK" sz="1400" b="1" baseline="0"/>
                <a:t> </a:t>
              </a:r>
              <a:r>
                <a:rPr lang="da-DK" sz="1400" b="1"/>
                <a:t>(produktion fordelt på anlægstype)</a:t>
              </a:r>
            </a:p>
          </xdr:txBody>
        </xdr:sp>
      </xdr:grpSp>
      <xdr:grpSp>
        <xdr:nvGrpSpPr>
          <xdr:cNvPr id="83" name="Gruppe 82">
            <a:extLst>
              <a:ext uri="{FF2B5EF4-FFF2-40B4-BE49-F238E27FC236}">
                <a16:creationId xmlns="" xmlns:a16="http://schemas.microsoft.com/office/drawing/2014/main" id="{00000000-0008-0000-0A00-000053000000}"/>
              </a:ext>
            </a:extLst>
          </xdr:cNvPr>
          <xdr:cNvGrpSpPr/>
        </xdr:nvGrpSpPr>
        <xdr:grpSpPr>
          <a:xfrm>
            <a:off x="3473334" y="529341"/>
            <a:ext cx="6479499" cy="7376409"/>
            <a:chOff x="3474467" y="519870"/>
            <a:chExt cx="6481681" cy="7144954"/>
          </a:xfrm>
        </xdr:grpSpPr>
        <xdr:sp macro="" textlink="">
          <xdr:nvSpPr>
            <xdr:cNvPr id="51" name="Rektangel 50">
              <a:extLst>
                <a:ext uri="{FF2B5EF4-FFF2-40B4-BE49-F238E27FC236}">
                  <a16:creationId xmlns="" xmlns:a16="http://schemas.microsoft.com/office/drawing/2014/main" id="{00000000-0008-0000-0A00-000033000000}"/>
                </a:ext>
              </a:extLst>
            </xdr:cNvPr>
            <xdr:cNvSpPr/>
          </xdr:nvSpPr>
          <xdr:spPr>
            <a:xfrm>
              <a:off x="3474467" y="519870"/>
              <a:ext cx="6481681" cy="7144954"/>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da-DK" sz="800" b="1">
                <a:solidFill>
                  <a:sysClr val="windowText" lastClr="000000"/>
                </a:solidFill>
              </a:endParaRPr>
            </a:p>
            <a:p>
              <a:pPr algn="ctr"/>
              <a:r>
                <a:rPr lang="da-DK" sz="2000" b="1">
                  <a:solidFill>
                    <a:sysClr val="windowText" lastClr="000000"/>
                  </a:solidFill>
                </a:rPr>
                <a:t>Bruttoenergiforbrug</a:t>
              </a:r>
            </a:p>
          </xdr:txBody>
        </xdr:sp>
        <xdr:sp macro="" textlink="">
          <xdr:nvSpPr>
            <xdr:cNvPr id="52" name="Rektangel 51">
              <a:hlinkClick xmlns:r="http://schemas.openxmlformats.org/officeDocument/2006/relationships" r:id="rId35"/>
              <a:extLst>
                <a:ext uri="{FF2B5EF4-FFF2-40B4-BE49-F238E27FC236}">
                  <a16:creationId xmlns="" xmlns:a16="http://schemas.microsoft.com/office/drawing/2014/main" id="{00000000-0008-0000-0A00-000034000000}"/>
                </a:ext>
              </a:extLst>
            </xdr:cNvPr>
            <xdr:cNvSpPr/>
          </xdr:nvSpPr>
          <xdr:spPr>
            <a:xfrm>
              <a:off x="3685578" y="1318079"/>
              <a:ext cx="2885042" cy="766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fordelt på brændsler</a:t>
              </a:r>
            </a:p>
          </xdr:txBody>
        </xdr:sp>
        <xdr:sp macro="" textlink="">
          <xdr:nvSpPr>
            <xdr:cNvPr id="53" name="Rektangel 52">
              <a:hlinkClick xmlns:r="http://schemas.openxmlformats.org/officeDocument/2006/relationships" r:id="rId36"/>
              <a:extLst>
                <a:ext uri="{FF2B5EF4-FFF2-40B4-BE49-F238E27FC236}">
                  <a16:creationId xmlns="" xmlns:a16="http://schemas.microsoft.com/office/drawing/2014/main" id="{00000000-0008-0000-0A00-000035000000}"/>
                </a:ext>
              </a:extLst>
            </xdr:cNvPr>
            <xdr:cNvSpPr/>
          </xdr:nvSpPr>
          <xdr:spPr>
            <a:xfrm>
              <a:off x="3687380" y="2204121"/>
              <a:ext cx="2885042" cy="759984"/>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brændsler</a:t>
              </a:r>
              <a:r>
                <a:rPr lang="da-DK" sz="1400" b="1" baseline="0"/>
                <a:t> for basisår</a:t>
              </a:r>
              <a:endParaRPr lang="da-DK" sz="1400" b="1"/>
            </a:p>
          </xdr:txBody>
        </xdr:sp>
        <xdr:sp macro="" textlink="">
          <xdr:nvSpPr>
            <xdr:cNvPr id="54" name="Rektangel 53">
              <a:hlinkClick xmlns:r="http://schemas.openxmlformats.org/officeDocument/2006/relationships" r:id="rId37"/>
              <a:extLst>
                <a:ext uri="{FF2B5EF4-FFF2-40B4-BE49-F238E27FC236}">
                  <a16:creationId xmlns="" xmlns:a16="http://schemas.microsoft.com/office/drawing/2014/main" id="{00000000-0008-0000-0A00-000036000000}"/>
                </a:ext>
              </a:extLst>
            </xdr:cNvPr>
            <xdr:cNvSpPr/>
          </xdr:nvSpPr>
          <xdr:spPr>
            <a:xfrm>
              <a:off x="3698586" y="3092188"/>
              <a:ext cx="2885042"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VE og fossil</a:t>
              </a:r>
              <a:r>
                <a:rPr lang="da-DK" sz="1400" b="1" baseline="0"/>
                <a:t> for basisår</a:t>
              </a:r>
              <a:endParaRPr lang="da-DK" sz="1400" b="1"/>
            </a:p>
          </xdr:txBody>
        </xdr:sp>
        <xdr:sp macro="" textlink="">
          <xdr:nvSpPr>
            <xdr:cNvPr id="55" name="Rektangel 54">
              <a:hlinkClick xmlns:r="http://schemas.openxmlformats.org/officeDocument/2006/relationships" r:id="rId38"/>
              <a:extLst>
                <a:ext uri="{FF2B5EF4-FFF2-40B4-BE49-F238E27FC236}">
                  <a16:creationId xmlns="" xmlns:a16="http://schemas.microsoft.com/office/drawing/2014/main" id="{00000000-0008-0000-0A00-000037000000}"/>
                </a:ext>
              </a:extLst>
            </xdr:cNvPr>
            <xdr:cNvSpPr/>
          </xdr:nvSpPr>
          <xdr:spPr>
            <a:xfrm>
              <a:off x="3687380" y="3989779"/>
              <a:ext cx="2885042"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opdelt på VE og fossil</a:t>
              </a:r>
            </a:p>
          </xdr:txBody>
        </xdr:sp>
        <xdr:sp macro="" textlink="">
          <xdr:nvSpPr>
            <xdr:cNvPr id="56" name="Rektangel 55">
              <a:hlinkClick xmlns:r="http://schemas.openxmlformats.org/officeDocument/2006/relationships" r:id="rId39"/>
              <a:extLst>
                <a:ext uri="{FF2B5EF4-FFF2-40B4-BE49-F238E27FC236}">
                  <a16:creationId xmlns="" xmlns:a16="http://schemas.microsoft.com/office/drawing/2014/main" id="{00000000-0008-0000-0A00-000038000000}"/>
                </a:ext>
              </a:extLst>
            </xdr:cNvPr>
            <xdr:cNvSpPr/>
          </xdr:nvSpPr>
          <xdr:spPr>
            <a:xfrm>
              <a:off x="3685699" y="4869441"/>
              <a:ext cx="2885042"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Vedvarende energi fordelt på ressourcetyper</a:t>
              </a:r>
            </a:p>
          </xdr:txBody>
        </xdr:sp>
        <xdr:sp macro="" textlink="">
          <xdr:nvSpPr>
            <xdr:cNvPr id="57" name="Rektangel 56">
              <a:hlinkClick xmlns:r="http://schemas.openxmlformats.org/officeDocument/2006/relationships" r:id="rId40"/>
              <a:extLst>
                <a:ext uri="{FF2B5EF4-FFF2-40B4-BE49-F238E27FC236}">
                  <a16:creationId xmlns="" xmlns:a16="http://schemas.microsoft.com/office/drawing/2014/main" id="{00000000-0008-0000-0A00-000039000000}"/>
                </a:ext>
              </a:extLst>
            </xdr:cNvPr>
            <xdr:cNvSpPr/>
          </xdr:nvSpPr>
          <xdr:spPr>
            <a:xfrm>
              <a:off x="3687380" y="5765352"/>
              <a:ext cx="2885042"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Vedvarende energi opdelt på ressourcetyper for</a:t>
              </a:r>
              <a:r>
                <a:rPr lang="da-DK" sz="1400" b="1" baseline="0"/>
                <a:t> basisår</a:t>
              </a:r>
              <a:endParaRPr lang="da-DK" sz="1400" b="1"/>
            </a:p>
          </xdr:txBody>
        </xdr:sp>
        <xdr:sp macro="" textlink="">
          <xdr:nvSpPr>
            <xdr:cNvPr id="58" name="Rektangel 57">
              <a:hlinkClick xmlns:r="http://schemas.openxmlformats.org/officeDocument/2006/relationships" r:id="rId41"/>
              <a:extLst>
                <a:ext uri="{FF2B5EF4-FFF2-40B4-BE49-F238E27FC236}">
                  <a16:creationId xmlns="" xmlns:a16="http://schemas.microsoft.com/office/drawing/2014/main" id="{00000000-0008-0000-0A00-00003A000000}"/>
                </a:ext>
              </a:extLst>
            </xdr:cNvPr>
            <xdr:cNvSpPr/>
          </xdr:nvSpPr>
          <xdr:spPr>
            <a:xfrm>
              <a:off x="6839791" y="4870346"/>
              <a:ext cx="2882640"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til</a:t>
              </a:r>
              <a:r>
                <a:rPr lang="da-DK" sz="1400" b="1" baseline="0"/>
                <a:t> transport </a:t>
              </a:r>
              <a:r>
                <a:rPr lang="da-DK" sz="1400" b="1"/>
                <a:t>fordelt på transportform</a:t>
              </a:r>
            </a:p>
          </xdr:txBody>
        </xdr:sp>
        <xdr:sp macro="" textlink="">
          <xdr:nvSpPr>
            <xdr:cNvPr id="59" name="Rektangel 58">
              <a:hlinkClick xmlns:r="http://schemas.openxmlformats.org/officeDocument/2006/relationships" r:id="rId42"/>
              <a:extLst>
                <a:ext uri="{FF2B5EF4-FFF2-40B4-BE49-F238E27FC236}">
                  <a16:creationId xmlns="" xmlns:a16="http://schemas.microsoft.com/office/drawing/2014/main" id="{00000000-0008-0000-0A00-00003B000000}"/>
                </a:ext>
              </a:extLst>
            </xdr:cNvPr>
            <xdr:cNvSpPr/>
          </xdr:nvSpPr>
          <xdr:spPr>
            <a:xfrm>
              <a:off x="6848161" y="5755267"/>
              <a:ext cx="2882640"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til transport opdelt på transportform for basisår</a:t>
              </a:r>
            </a:p>
          </xdr:txBody>
        </xdr:sp>
        <xdr:sp macro="" textlink="">
          <xdr:nvSpPr>
            <xdr:cNvPr id="60" name="Rektangel 59">
              <a:hlinkClick xmlns:r="http://schemas.openxmlformats.org/officeDocument/2006/relationships" r:id="rId43"/>
              <a:extLst>
                <a:ext uri="{FF2B5EF4-FFF2-40B4-BE49-F238E27FC236}">
                  <a16:creationId xmlns="" xmlns:a16="http://schemas.microsoft.com/office/drawing/2014/main" id="{00000000-0008-0000-0A00-00003C000000}"/>
                </a:ext>
              </a:extLst>
            </xdr:cNvPr>
            <xdr:cNvSpPr/>
          </xdr:nvSpPr>
          <xdr:spPr>
            <a:xfrm>
              <a:off x="6844800" y="6647815"/>
              <a:ext cx="2882640"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til transport </a:t>
              </a:r>
            </a:p>
          </xdr:txBody>
        </xdr:sp>
        <xdr:sp macro="" textlink="">
          <xdr:nvSpPr>
            <xdr:cNvPr id="61" name="Rektangel 60">
              <a:hlinkClick xmlns:r="http://schemas.openxmlformats.org/officeDocument/2006/relationships" r:id="rId44"/>
              <a:extLst>
                <a:ext uri="{FF2B5EF4-FFF2-40B4-BE49-F238E27FC236}">
                  <a16:creationId xmlns="" xmlns:a16="http://schemas.microsoft.com/office/drawing/2014/main" id="{00000000-0008-0000-0A00-00003D000000}"/>
                </a:ext>
              </a:extLst>
            </xdr:cNvPr>
            <xdr:cNvSpPr/>
          </xdr:nvSpPr>
          <xdr:spPr>
            <a:xfrm>
              <a:off x="6823228" y="1307433"/>
              <a:ext cx="2882640" cy="766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Brændselsforbrug fordelt på omsætningsenheder</a:t>
              </a:r>
            </a:p>
          </xdr:txBody>
        </xdr:sp>
        <xdr:sp macro="" textlink="">
          <xdr:nvSpPr>
            <xdr:cNvPr id="62" name="Rektangel 61">
              <a:hlinkClick xmlns:r="http://schemas.openxmlformats.org/officeDocument/2006/relationships" r:id="rId45"/>
              <a:extLst>
                <a:ext uri="{FF2B5EF4-FFF2-40B4-BE49-F238E27FC236}">
                  <a16:creationId xmlns="" xmlns:a16="http://schemas.microsoft.com/office/drawing/2014/main" id="{00000000-0008-0000-0A00-00003E000000}"/>
                </a:ext>
              </a:extLst>
            </xdr:cNvPr>
            <xdr:cNvSpPr/>
          </xdr:nvSpPr>
          <xdr:spPr>
            <a:xfrm>
              <a:off x="6819266" y="2195715"/>
              <a:ext cx="2882640" cy="759984"/>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Brændselsforbrug opdelt på omsætningsenheder for basisår</a:t>
              </a:r>
            </a:p>
          </xdr:txBody>
        </xdr:sp>
        <xdr:sp macro="" textlink="">
          <xdr:nvSpPr>
            <xdr:cNvPr id="63" name="Rektangel 62">
              <a:hlinkClick xmlns:r="http://schemas.openxmlformats.org/officeDocument/2006/relationships" r:id="rId46"/>
              <a:extLst>
                <a:ext uri="{FF2B5EF4-FFF2-40B4-BE49-F238E27FC236}">
                  <a16:creationId xmlns="" xmlns:a16="http://schemas.microsoft.com/office/drawing/2014/main" id="{00000000-0008-0000-0A00-00003F000000}"/>
                </a:ext>
              </a:extLst>
            </xdr:cNvPr>
            <xdr:cNvSpPr/>
          </xdr:nvSpPr>
          <xdr:spPr>
            <a:xfrm>
              <a:off x="6829512" y="3087143"/>
              <a:ext cx="2882640"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Bruttoenergiforbrug fordelt på omsætningsenheder for  VE og fossil</a:t>
              </a:r>
            </a:p>
          </xdr:txBody>
        </xdr:sp>
        <xdr:sp macro="" textlink="">
          <xdr:nvSpPr>
            <xdr:cNvPr id="64" name="Rektangel 63">
              <a:hlinkClick xmlns:r="http://schemas.openxmlformats.org/officeDocument/2006/relationships" r:id="rId47"/>
              <a:extLst>
                <a:ext uri="{FF2B5EF4-FFF2-40B4-BE49-F238E27FC236}">
                  <a16:creationId xmlns="" xmlns:a16="http://schemas.microsoft.com/office/drawing/2014/main" id="{00000000-0008-0000-0A00-000040000000}"/>
                </a:ext>
              </a:extLst>
            </xdr:cNvPr>
            <xdr:cNvSpPr/>
          </xdr:nvSpPr>
          <xdr:spPr>
            <a:xfrm>
              <a:off x="6832753" y="3981159"/>
              <a:ext cx="2882640"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Brug af vedvarende energi opdelt på omsætningsenheder for basisår</a:t>
              </a:r>
            </a:p>
          </xdr:txBody>
        </xdr:sp>
      </xdr:grpSp>
      <xdr:grpSp>
        <xdr:nvGrpSpPr>
          <xdr:cNvPr id="89" name="Gruppe 88">
            <a:extLst>
              <a:ext uri="{FF2B5EF4-FFF2-40B4-BE49-F238E27FC236}">
                <a16:creationId xmlns="" xmlns:a16="http://schemas.microsoft.com/office/drawing/2014/main" id="{00000000-0008-0000-0A00-000059000000}"/>
              </a:ext>
            </a:extLst>
          </xdr:cNvPr>
          <xdr:cNvGrpSpPr/>
        </xdr:nvGrpSpPr>
        <xdr:grpSpPr>
          <a:xfrm>
            <a:off x="10098348" y="524797"/>
            <a:ext cx="3247310" cy="7380953"/>
            <a:chOff x="10101711" y="515469"/>
            <a:chExt cx="3248403" cy="7149355"/>
          </a:xfrm>
        </xdr:grpSpPr>
        <xdr:sp macro="" textlink="">
          <xdr:nvSpPr>
            <xdr:cNvPr id="43" name="Rektangel 42">
              <a:extLst>
                <a:ext uri="{FF2B5EF4-FFF2-40B4-BE49-F238E27FC236}">
                  <a16:creationId xmlns="" xmlns:a16="http://schemas.microsoft.com/office/drawing/2014/main" id="{00000000-0008-0000-0A00-00002B000000}"/>
                </a:ext>
              </a:extLst>
            </xdr:cNvPr>
            <xdr:cNvSpPr/>
          </xdr:nvSpPr>
          <xdr:spPr>
            <a:xfrm>
              <a:off x="10101711" y="515469"/>
              <a:ext cx="3248403" cy="7149355"/>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a-DK" sz="2000" b="1">
                  <a:solidFill>
                    <a:sysClr val="windowText" lastClr="000000"/>
                  </a:solidFill>
                </a:rPr>
                <a:t>Udvidede</a:t>
              </a:r>
              <a:r>
                <a:rPr lang="da-DK" sz="2000" b="1" baseline="0">
                  <a:solidFill>
                    <a:sysClr val="windowText" lastClr="000000"/>
                  </a:solidFill>
                </a:rPr>
                <a:t> endelige energiforbrug &amp; slutforbrug</a:t>
              </a:r>
              <a:endParaRPr lang="da-DK" sz="2000" b="1">
                <a:solidFill>
                  <a:sysClr val="windowText" lastClr="000000"/>
                </a:solidFill>
              </a:endParaRPr>
            </a:p>
          </xdr:txBody>
        </xdr:sp>
        <xdr:sp macro="" textlink="">
          <xdr:nvSpPr>
            <xdr:cNvPr id="44" name="Rektangel 43">
              <a:hlinkClick xmlns:r="http://schemas.openxmlformats.org/officeDocument/2006/relationships" r:id="rId48"/>
              <a:extLst>
                <a:ext uri="{FF2B5EF4-FFF2-40B4-BE49-F238E27FC236}">
                  <a16:creationId xmlns="" xmlns:a16="http://schemas.microsoft.com/office/drawing/2014/main" id="{00000000-0008-0000-0A00-00002C000000}"/>
                </a:ext>
              </a:extLst>
            </xdr:cNvPr>
            <xdr:cNvSpPr/>
          </xdr:nvSpPr>
          <xdr:spPr>
            <a:xfrm>
              <a:off x="10294522" y="1280787"/>
              <a:ext cx="2881199"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Udvidede endelige energiforbrug fordelt på kategorier</a:t>
              </a:r>
            </a:p>
          </xdr:txBody>
        </xdr:sp>
        <xdr:sp macro="" textlink="">
          <xdr:nvSpPr>
            <xdr:cNvPr id="45" name="Rektangel 44">
              <a:hlinkClick xmlns:r="http://schemas.openxmlformats.org/officeDocument/2006/relationships" r:id="rId49"/>
              <a:extLst>
                <a:ext uri="{FF2B5EF4-FFF2-40B4-BE49-F238E27FC236}">
                  <a16:creationId xmlns="" xmlns:a16="http://schemas.microsoft.com/office/drawing/2014/main" id="{00000000-0008-0000-0A00-00002D000000}"/>
                </a:ext>
              </a:extLst>
            </xdr:cNvPr>
            <xdr:cNvSpPr/>
          </xdr:nvSpPr>
          <xdr:spPr>
            <a:xfrm>
              <a:off x="10303577" y="3958660"/>
              <a:ext cx="2893445" cy="759984"/>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Slutforbrug fordelt på kategorier</a:t>
              </a:r>
            </a:p>
          </xdr:txBody>
        </xdr:sp>
        <xdr:sp macro="" textlink="">
          <xdr:nvSpPr>
            <xdr:cNvPr id="46" name="Rektangel 45">
              <a:hlinkClick xmlns:r="http://schemas.openxmlformats.org/officeDocument/2006/relationships" r:id="rId50"/>
              <a:extLst>
                <a:ext uri="{FF2B5EF4-FFF2-40B4-BE49-F238E27FC236}">
                  <a16:creationId xmlns="" xmlns:a16="http://schemas.microsoft.com/office/drawing/2014/main" id="{00000000-0008-0000-0A00-00002E000000}"/>
                </a:ext>
              </a:extLst>
            </xdr:cNvPr>
            <xdr:cNvSpPr/>
          </xdr:nvSpPr>
          <xdr:spPr>
            <a:xfrm>
              <a:off x="10299886" y="2154490"/>
              <a:ext cx="2881200"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Udvidede endelige energiforbrug fordelt på kategorier</a:t>
              </a:r>
            </a:p>
          </xdr:txBody>
        </xdr:sp>
        <xdr:sp macro="" textlink="">
          <xdr:nvSpPr>
            <xdr:cNvPr id="47" name="Rektangel 46">
              <a:hlinkClick xmlns:r="http://schemas.openxmlformats.org/officeDocument/2006/relationships" r:id="rId51"/>
              <a:extLst>
                <a:ext uri="{FF2B5EF4-FFF2-40B4-BE49-F238E27FC236}">
                  <a16:creationId xmlns="" xmlns:a16="http://schemas.microsoft.com/office/drawing/2014/main" id="{00000000-0008-0000-0A00-00002F000000}"/>
                </a:ext>
              </a:extLst>
            </xdr:cNvPr>
            <xdr:cNvSpPr/>
          </xdr:nvSpPr>
          <xdr:spPr>
            <a:xfrm>
              <a:off x="10313494" y="3037274"/>
              <a:ext cx="2881200"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Udvidede endelige energiforbrug fordelt på brændsler</a:t>
              </a:r>
            </a:p>
          </xdr:txBody>
        </xdr:sp>
        <xdr:sp macro="" textlink="">
          <xdr:nvSpPr>
            <xdr:cNvPr id="48" name="Rektangel 47">
              <a:hlinkClick xmlns:r="http://schemas.openxmlformats.org/officeDocument/2006/relationships" r:id="rId52"/>
              <a:extLst>
                <a:ext uri="{FF2B5EF4-FFF2-40B4-BE49-F238E27FC236}">
                  <a16:creationId xmlns="" xmlns:a16="http://schemas.microsoft.com/office/drawing/2014/main" id="{00000000-0008-0000-0A00-000030000000}"/>
                </a:ext>
              </a:extLst>
            </xdr:cNvPr>
            <xdr:cNvSpPr/>
          </xdr:nvSpPr>
          <xdr:spPr>
            <a:xfrm>
              <a:off x="10309411" y="4863078"/>
              <a:ext cx="2881200" cy="759984"/>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Slutforbrug af varme fordelt på anlægstype</a:t>
              </a:r>
            </a:p>
          </xdr:txBody>
        </xdr:sp>
        <xdr:sp macro="" textlink="">
          <xdr:nvSpPr>
            <xdr:cNvPr id="49" name="Rektangel 48">
              <a:hlinkClick xmlns:r="http://schemas.openxmlformats.org/officeDocument/2006/relationships" r:id="rId53"/>
              <a:extLst>
                <a:ext uri="{FF2B5EF4-FFF2-40B4-BE49-F238E27FC236}">
                  <a16:creationId xmlns="" xmlns:a16="http://schemas.microsoft.com/office/drawing/2014/main" id="{00000000-0008-0000-0A00-000031000000}"/>
                </a:ext>
              </a:extLst>
            </xdr:cNvPr>
            <xdr:cNvSpPr/>
          </xdr:nvSpPr>
          <xdr:spPr>
            <a:xfrm>
              <a:off x="10298526" y="5757045"/>
              <a:ext cx="2881200" cy="766387"/>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Slutforbrug af varme opdelt på anlægstype for basisår</a:t>
              </a:r>
            </a:p>
          </xdr:txBody>
        </xdr:sp>
        <xdr:sp macro="" textlink="">
          <xdr:nvSpPr>
            <xdr:cNvPr id="50" name="Rektangel 49">
              <a:hlinkClick xmlns:r="http://schemas.openxmlformats.org/officeDocument/2006/relationships" r:id="rId54"/>
              <a:extLst>
                <a:ext uri="{FF2B5EF4-FFF2-40B4-BE49-F238E27FC236}">
                  <a16:creationId xmlns="" xmlns:a16="http://schemas.microsoft.com/office/drawing/2014/main" id="{00000000-0008-0000-0A00-000032000000}"/>
                </a:ext>
              </a:extLst>
            </xdr:cNvPr>
            <xdr:cNvSpPr/>
          </xdr:nvSpPr>
          <xdr:spPr>
            <a:xfrm>
              <a:off x="10287640" y="6653037"/>
              <a:ext cx="2881200" cy="759983"/>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400" b="1"/>
                <a:t>Slutforbrug</a:t>
              </a:r>
              <a:r>
                <a:rPr lang="da-DK" sz="1400" b="1" baseline="0"/>
                <a:t> </a:t>
              </a:r>
              <a:r>
                <a:rPr lang="da-DK" sz="1400" b="1"/>
                <a:t>af varme fordelt på anlægstype</a:t>
              </a:r>
            </a:p>
          </xdr:txBody>
        </xdr:sp>
      </xdr:grpSp>
    </xdr:grpSp>
    <xdr:clientData/>
  </xdr:twoCellAnchor>
  <xdr:twoCellAnchor>
    <xdr:from>
      <xdr:col>7</xdr:col>
      <xdr:colOff>22411</xdr:colOff>
      <xdr:row>63</xdr:row>
      <xdr:rowOff>26894</xdr:rowOff>
    </xdr:from>
    <xdr:to>
      <xdr:col>14</xdr:col>
      <xdr:colOff>36980</xdr:colOff>
      <xdr:row>86</xdr:row>
      <xdr:rowOff>151115</xdr:rowOff>
    </xdr:to>
    <xdr:graphicFrame macro="">
      <xdr:nvGraphicFramePr>
        <xdr:cNvPr id="77" name="Diagram 15">
          <a:extLst>
            <a:ext uri="{FF2B5EF4-FFF2-40B4-BE49-F238E27FC236}">
              <a16:creationId xmlns="" xmlns:a16="http://schemas.microsoft.com/office/drawing/2014/main" id="{00000000-0008-0000-0A00-00004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7</xdr:col>
      <xdr:colOff>20729</xdr:colOff>
      <xdr:row>52</xdr:row>
      <xdr:rowOff>58831</xdr:rowOff>
    </xdr:from>
    <xdr:to>
      <xdr:col>11</xdr:col>
      <xdr:colOff>281823</xdr:colOff>
      <xdr:row>58</xdr:row>
      <xdr:rowOff>59281</xdr:rowOff>
    </xdr:to>
    <xdr:sp macro="" textlink="">
      <xdr:nvSpPr>
        <xdr:cNvPr id="78" name="Tekstboks 77">
          <a:extLst>
            <a:ext uri="{FF2B5EF4-FFF2-40B4-BE49-F238E27FC236}">
              <a16:creationId xmlns="" xmlns:a16="http://schemas.microsoft.com/office/drawing/2014/main" id="{00000000-0008-0000-0A00-00004E000000}"/>
            </a:ext>
          </a:extLst>
        </xdr:cNvPr>
        <xdr:cNvSpPr txBox="1"/>
      </xdr:nvSpPr>
      <xdr:spPr>
        <a:xfrm>
          <a:off x="8447553" y="8620125"/>
          <a:ext cx="4272799" cy="941744"/>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Andel</a:t>
          </a:r>
          <a:r>
            <a:rPr lang="da-DK" sz="1100" b="1" i="1" baseline="0">
              <a:solidFill>
                <a:schemeClr val="dk1"/>
              </a:solidFill>
              <a:effectLst/>
              <a:latin typeface="+mn-lt"/>
              <a:ea typeface="+mn-ea"/>
              <a:cs typeface="+mn-cs"/>
            </a:rPr>
            <a:t> vedvarende energi (Lokal)</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VE-andelen forbrugt i det lokale energisystem. B</a:t>
          </a:r>
          <a:r>
            <a:rPr lang="da-DK"/>
            <a:t>eregnet ud fra andelen af energi fra vedvarende energikilder i det samlede</a:t>
          </a:r>
          <a:r>
            <a:rPr lang="da-DK" baseline="0"/>
            <a:t> brændselsforbrug</a:t>
          </a:r>
          <a:r>
            <a:rPr lang="da-DK"/>
            <a:t> .</a:t>
          </a:r>
          <a:endParaRPr lang="da-DK" sz="1100">
            <a:solidFill>
              <a:schemeClr val="dk1"/>
            </a:solidFill>
            <a:effectLst/>
            <a:latin typeface="+mn-lt"/>
            <a:ea typeface="+mn-ea"/>
            <a:cs typeface="+mn-cs"/>
          </a:endParaRPr>
        </a:p>
      </xdr:txBody>
    </xdr:sp>
    <xdr:clientData/>
  </xdr:twoCellAnchor>
  <xdr:twoCellAnchor editAs="absolute">
    <xdr:from>
      <xdr:col>0</xdr:col>
      <xdr:colOff>85725</xdr:colOff>
      <xdr:row>1107</xdr:row>
      <xdr:rowOff>64848</xdr:rowOff>
    </xdr:from>
    <xdr:to>
      <xdr:col>0</xdr:col>
      <xdr:colOff>355168</xdr:colOff>
      <xdr:row>1109</xdr:row>
      <xdr:rowOff>31277</xdr:rowOff>
    </xdr:to>
    <xdr:sp macro="" textlink="">
      <xdr:nvSpPr>
        <xdr:cNvPr id="80" name="Rektangel 79">
          <a:hlinkClick xmlns:r="http://schemas.openxmlformats.org/officeDocument/2006/relationships" r:id="rId56"/>
          <a:extLst>
            <a:ext uri="{FF2B5EF4-FFF2-40B4-BE49-F238E27FC236}">
              <a16:creationId xmlns="" xmlns:a16="http://schemas.microsoft.com/office/drawing/2014/main" id="{00000000-0008-0000-0A00-000050000000}"/>
            </a:ext>
          </a:extLst>
        </xdr:cNvPr>
        <xdr:cNvSpPr/>
      </xdr:nvSpPr>
      <xdr:spPr>
        <a:xfrm>
          <a:off x="85725" y="181241234"/>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twoCellAnchor>
  <xdr:twoCellAnchor editAs="absolute">
    <xdr:from>
      <xdr:col>0</xdr:col>
      <xdr:colOff>85725</xdr:colOff>
      <xdr:row>1008</xdr:row>
      <xdr:rowOff>64848</xdr:rowOff>
    </xdr:from>
    <xdr:to>
      <xdr:col>0</xdr:col>
      <xdr:colOff>355168</xdr:colOff>
      <xdr:row>1010</xdr:row>
      <xdr:rowOff>31277</xdr:rowOff>
    </xdr:to>
    <xdr:sp macro="" textlink="">
      <xdr:nvSpPr>
        <xdr:cNvPr id="82" name="Rektangel 81">
          <a:hlinkClick xmlns:r="http://schemas.openxmlformats.org/officeDocument/2006/relationships" r:id="rId56"/>
          <a:extLst>
            <a:ext uri="{FF2B5EF4-FFF2-40B4-BE49-F238E27FC236}">
              <a16:creationId xmlns="" xmlns:a16="http://schemas.microsoft.com/office/drawing/2014/main" id="{00000000-0008-0000-0A00-000052000000}"/>
            </a:ext>
          </a:extLst>
        </xdr:cNvPr>
        <xdr:cNvSpPr/>
      </xdr:nvSpPr>
      <xdr:spPr>
        <a:xfrm>
          <a:off x="85725" y="164943959"/>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twoCellAnchor>
  <xdr:twoCellAnchor editAs="absolute">
    <xdr:from>
      <xdr:col>0</xdr:col>
      <xdr:colOff>85725</xdr:colOff>
      <xdr:row>842</xdr:row>
      <xdr:rowOff>64848</xdr:rowOff>
    </xdr:from>
    <xdr:to>
      <xdr:col>0</xdr:col>
      <xdr:colOff>355168</xdr:colOff>
      <xdr:row>844</xdr:row>
      <xdr:rowOff>31276</xdr:rowOff>
    </xdr:to>
    <xdr:sp macro="" textlink="">
      <xdr:nvSpPr>
        <xdr:cNvPr id="84" name="Rektangel 83">
          <a:hlinkClick xmlns:r="http://schemas.openxmlformats.org/officeDocument/2006/relationships" r:id="rId56"/>
          <a:extLst>
            <a:ext uri="{FF2B5EF4-FFF2-40B4-BE49-F238E27FC236}">
              <a16:creationId xmlns="" xmlns:a16="http://schemas.microsoft.com/office/drawing/2014/main" id="{00000000-0008-0000-0A00-000054000000}"/>
            </a:ext>
          </a:extLst>
        </xdr:cNvPr>
        <xdr:cNvSpPr/>
      </xdr:nvSpPr>
      <xdr:spPr>
        <a:xfrm>
          <a:off x="85725" y="137797709"/>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twoCellAnchor>
  <xdr:twoCellAnchor editAs="absolute">
    <xdr:from>
      <xdr:col>0</xdr:col>
      <xdr:colOff>85725</xdr:colOff>
      <xdr:row>707</xdr:row>
      <xdr:rowOff>64848</xdr:rowOff>
    </xdr:from>
    <xdr:to>
      <xdr:col>0</xdr:col>
      <xdr:colOff>355168</xdr:colOff>
      <xdr:row>709</xdr:row>
      <xdr:rowOff>31277</xdr:rowOff>
    </xdr:to>
    <xdr:sp macro="" textlink="">
      <xdr:nvSpPr>
        <xdr:cNvPr id="86" name="Rektangel 85">
          <a:hlinkClick xmlns:r="http://schemas.openxmlformats.org/officeDocument/2006/relationships" r:id="rId56"/>
          <a:extLst>
            <a:ext uri="{FF2B5EF4-FFF2-40B4-BE49-F238E27FC236}">
              <a16:creationId xmlns="" xmlns:a16="http://schemas.microsoft.com/office/drawing/2014/main" id="{00000000-0008-0000-0A00-000056000000}"/>
            </a:ext>
          </a:extLst>
        </xdr:cNvPr>
        <xdr:cNvSpPr/>
      </xdr:nvSpPr>
      <xdr:spPr>
        <a:xfrm>
          <a:off x="85725" y="115671134"/>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twoCellAnchor>
  <xdr:twoCellAnchor editAs="absolute">
    <xdr:from>
      <xdr:col>0</xdr:col>
      <xdr:colOff>85725</xdr:colOff>
      <xdr:row>547</xdr:row>
      <xdr:rowOff>56684</xdr:rowOff>
    </xdr:from>
    <xdr:to>
      <xdr:col>0</xdr:col>
      <xdr:colOff>355168</xdr:colOff>
      <xdr:row>549</xdr:row>
      <xdr:rowOff>15175</xdr:rowOff>
    </xdr:to>
    <xdr:sp macro="" textlink="">
      <xdr:nvSpPr>
        <xdr:cNvPr id="88" name="Rektangel 87">
          <a:hlinkClick xmlns:r="http://schemas.openxmlformats.org/officeDocument/2006/relationships" r:id="rId56"/>
          <a:extLst>
            <a:ext uri="{FF2B5EF4-FFF2-40B4-BE49-F238E27FC236}">
              <a16:creationId xmlns="" xmlns:a16="http://schemas.microsoft.com/office/drawing/2014/main" id="{00000000-0008-0000-0A00-000058000000}"/>
            </a:ext>
          </a:extLst>
        </xdr:cNvPr>
        <xdr:cNvSpPr/>
      </xdr:nvSpPr>
      <xdr:spPr>
        <a:xfrm>
          <a:off x="85725" y="89382134"/>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twoCellAnchor>
  <xdr:twoCellAnchor editAs="absolute">
    <xdr:from>
      <xdr:col>0</xdr:col>
      <xdr:colOff>115662</xdr:colOff>
      <xdr:row>50</xdr:row>
      <xdr:rowOff>64662</xdr:rowOff>
    </xdr:from>
    <xdr:to>
      <xdr:col>0</xdr:col>
      <xdr:colOff>385105</xdr:colOff>
      <xdr:row>50</xdr:row>
      <xdr:rowOff>356528</xdr:rowOff>
    </xdr:to>
    <xdr:sp macro="" textlink="">
      <xdr:nvSpPr>
        <xdr:cNvPr id="87" name="Rektangel 86">
          <a:hlinkClick xmlns:r="http://schemas.openxmlformats.org/officeDocument/2006/relationships" r:id="rId56"/>
          <a:extLst>
            <a:ext uri="{FF2B5EF4-FFF2-40B4-BE49-F238E27FC236}">
              <a16:creationId xmlns="" xmlns:a16="http://schemas.microsoft.com/office/drawing/2014/main" id="{00000000-0008-0000-0A00-000057000000}"/>
            </a:ext>
          </a:extLst>
        </xdr:cNvPr>
        <xdr:cNvSpPr/>
      </xdr:nvSpPr>
      <xdr:spPr>
        <a:xfrm>
          <a:off x="115662" y="8294262"/>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twoCellAnchor>
  <xdr:twoCellAnchor editAs="absolute">
    <xdr:from>
      <xdr:col>0</xdr:col>
      <xdr:colOff>115662</xdr:colOff>
      <xdr:row>89</xdr:row>
      <xdr:rowOff>64662</xdr:rowOff>
    </xdr:from>
    <xdr:to>
      <xdr:col>0</xdr:col>
      <xdr:colOff>385105</xdr:colOff>
      <xdr:row>89</xdr:row>
      <xdr:rowOff>356528</xdr:rowOff>
    </xdr:to>
    <xdr:sp macro="" textlink="">
      <xdr:nvSpPr>
        <xdr:cNvPr id="90" name="Rektangel 89">
          <a:hlinkClick xmlns:r="http://schemas.openxmlformats.org/officeDocument/2006/relationships" r:id="rId56"/>
          <a:extLst>
            <a:ext uri="{FF2B5EF4-FFF2-40B4-BE49-F238E27FC236}">
              <a16:creationId xmlns="" xmlns:a16="http://schemas.microsoft.com/office/drawing/2014/main" id="{00000000-0008-0000-0A00-00005A000000}"/>
            </a:ext>
          </a:extLst>
        </xdr:cNvPr>
        <xdr:cNvSpPr/>
      </xdr:nvSpPr>
      <xdr:spPr>
        <a:xfrm>
          <a:off x="115662" y="14952237"/>
          <a:ext cx="269443" cy="291866"/>
        </a:xfrm>
        <a:prstGeom prst="rect">
          <a:avLst/>
        </a:prstGeom>
        <a:solidFill>
          <a:schemeClr val="accent5"/>
        </a:solidFill>
        <a:ln>
          <a:solidFill>
            <a:schemeClr val="accent5"/>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8000" tIns="36000" rIns="18000" bIns="36000" rtlCol="0" anchor="ctr">
          <a:spAutoFit/>
        </a:bodyPr>
        <a:lstStyle/>
        <a:p>
          <a:pPr algn="ctr"/>
          <a:r>
            <a:rPr lang="da-DK" sz="1400" b="1"/>
            <a:t>↑</a:t>
          </a:r>
          <a:endParaRPr lang="da-DK" sz="1000" b="1"/>
        </a:p>
      </xdr:txBody>
    </xdr:sp>
    <xdr:clientData/>
  </xdr:twoCellAnchor>
  <xdr:twoCellAnchor>
    <xdr:from>
      <xdr:col>0</xdr:col>
      <xdr:colOff>601195</xdr:colOff>
      <xdr:row>1032</xdr:row>
      <xdr:rowOff>28573</xdr:rowOff>
    </xdr:from>
    <xdr:to>
      <xdr:col>6</xdr:col>
      <xdr:colOff>506166</xdr:colOff>
      <xdr:row>1057</xdr:row>
      <xdr:rowOff>66515</xdr:rowOff>
    </xdr:to>
    <xdr:graphicFrame macro="">
      <xdr:nvGraphicFramePr>
        <xdr:cNvPr id="93" name="Diagram 21">
          <a:extLst>
            <a:ext uri="{FF2B5EF4-FFF2-40B4-BE49-F238E27FC236}">
              <a16:creationId xmlns="" xmlns:a16="http://schemas.microsoft.com/office/drawing/2014/main" id="{8AE109B2-CFE0-42FB-988A-ECA8BB5A7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xdr:col>
      <xdr:colOff>16808</xdr:colOff>
      <xdr:row>1083</xdr:row>
      <xdr:rowOff>33057</xdr:rowOff>
    </xdr:from>
    <xdr:to>
      <xdr:col>6</xdr:col>
      <xdr:colOff>526897</xdr:colOff>
      <xdr:row>1108</xdr:row>
      <xdr:rowOff>70998</xdr:rowOff>
    </xdr:to>
    <xdr:graphicFrame macro="">
      <xdr:nvGraphicFramePr>
        <xdr:cNvPr id="94" name="Diagram 15">
          <a:extLst>
            <a:ext uri="{FF2B5EF4-FFF2-40B4-BE49-F238E27FC236}">
              <a16:creationId xmlns="" xmlns:a16="http://schemas.microsoft.com/office/drawing/2014/main" id="{B2FE0D04-0C83-4C61-8B49-543ED8A50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xdr:col>
      <xdr:colOff>29695</xdr:colOff>
      <xdr:row>1132</xdr:row>
      <xdr:rowOff>17369</xdr:rowOff>
    </xdr:from>
    <xdr:to>
      <xdr:col>6</xdr:col>
      <xdr:colOff>539784</xdr:colOff>
      <xdr:row>1157</xdr:row>
      <xdr:rowOff>55310</xdr:rowOff>
    </xdr:to>
    <xdr:graphicFrame macro="">
      <xdr:nvGraphicFramePr>
        <xdr:cNvPr id="95" name="Diagram 21">
          <a:extLst>
            <a:ext uri="{FF2B5EF4-FFF2-40B4-BE49-F238E27FC236}">
              <a16:creationId xmlns="" xmlns:a16="http://schemas.microsoft.com/office/drawing/2014/main" id="{4E5D943A-8271-4250-A89F-8AC02AC81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xdr:col>
      <xdr:colOff>16807</xdr:colOff>
      <xdr:row>1183</xdr:row>
      <xdr:rowOff>21850</xdr:rowOff>
    </xdr:from>
    <xdr:to>
      <xdr:col>6</xdr:col>
      <xdr:colOff>526896</xdr:colOff>
      <xdr:row>1208</xdr:row>
      <xdr:rowOff>59791</xdr:rowOff>
    </xdr:to>
    <xdr:graphicFrame macro="">
      <xdr:nvGraphicFramePr>
        <xdr:cNvPr id="96" name="Diagram 15">
          <a:extLst>
            <a:ext uri="{FF2B5EF4-FFF2-40B4-BE49-F238E27FC236}">
              <a16:creationId xmlns="" xmlns:a16="http://schemas.microsoft.com/office/drawing/2014/main" id="{2D6DDD96-338A-4B10-94B6-85F4BEBD2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7</xdr:col>
      <xdr:colOff>0</xdr:colOff>
      <xdr:row>653</xdr:row>
      <xdr:rowOff>0</xdr:rowOff>
    </xdr:from>
    <xdr:to>
      <xdr:col>14</xdr:col>
      <xdr:colOff>298423</xdr:colOff>
      <xdr:row>678</xdr:row>
      <xdr:rowOff>37941</xdr:rowOff>
    </xdr:to>
    <xdr:graphicFrame macro="">
      <xdr:nvGraphicFramePr>
        <xdr:cNvPr id="91" name="Diagram 21">
          <a:extLst>
            <a:ext uri="{FF2B5EF4-FFF2-40B4-BE49-F238E27FC236}">
              <a16:creationId xmlns="" xmlns:a16="http://schemas.microsoft.com/office/drawing/2014/main" id="{A4647BC8-2F5A-4007-B3CF-29998A6E82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8</xdr:col>
      <xdr:colOff>0</xdr:colOff>
      <xdr:row>127</xdr:row>
      <xdr:rowOff>0</xdr:rowOff>
    </xdr:from>
    <xdr:to>
      <xdr:col>16</xdr:col>
      <xdr:colOff>346080</xdr:colOff>
      <xdr:row>151</xdr:row>
      <xdr:rowOff>73800</xdr:rowOff>
    </xdr:to>
    <xdr:graphicFrame macro="">
      <xdr:nvGraphicFramePr>
        <xdr:cNvPr id="92" name="Diagram 15">
          <a:extLst>
            <a:ext uri="{FF2B5EF4-FFF2-40B4-BE49-F238E27FC236}">
              <a16:creationId xmlns="" xmlns:a16="http://schemas.microsoft.com/office/drawing/2014/main" id="{50E74C33-05AC-48CA-8E24-34686D0B2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7</xdr:col>
      <xdr:colOff>988786</xdr:colOff>
      <xdr:row>96</xdr:row>
      <xdr:rowOff>46869</xdr:rowOff>
    </xdr:from>
    <xdr:to>
      <xdr:col>16</xdr:col>
      <xdr:colOff>205473</xdr:colOff>
      <xdr:row>122</xdr:row>
      <xdr:rowOff>110086</xdr:rowOff>
    </xdr:to>
    <xdr:graphicFrame macro="">
      <xdr:nvGraphicFramePr>
        <xdr:cNvPr id="97" name="Diagram 15">
          <a:extLst>
            <a:ext uri="{FF2B5EF4-FFF2-40B4-BE49-F238E27FC236}">
              <a16:creationId xmlns="" xmlns:a16="http://schemas.microsoft.com/office/drawing/2014/main" id="{CA1AC015-A9D5-462D-9BD6-C2B823E69E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108855</xdr:colOff>
      <xdr:row>84</xdr:row>
      <xdr:rowOff>68035</xdr:rowOff>
    </xdr:from>
    <xdr:to>
      <xdr:col>4</xdr:col>
      <xdr:colOff>680356</xdr:colOff>
      <xdr:row>114</xdr:row>
      <xdr:rowOff>122464</xdr:rowOff>
    </xdr:to>
    <xdr:graphicFrame macro="">
      <xdr:nvGraphicFramePr>
        <xdr:cNvPr id="3" name="Diagram 2">
          <a:extLst>
            <a:ext uri="{FF2B5EF4-FFF2-40B4-BE49-F238E27FC236}">
              <a16:creationId xmlns="" xmlns:a16="http://schemas.microsoft.com/office/drawing/2014/main" id="{41A4A940-DF17-4463-B8CC-B3CA28F586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108858</xdr:colOff>
      <xdr:row>51</xdr:row>
      <xdr:rowOff>131989</xdr:rowOff>
    </xdr:from>
    <xdr:to>
      <xdr:col>8</xdr:col>
      <xdr:colOff>27215</xdr:colOff>
      <xdr:row>83</xdr:row>
      <xdr:rowOff>108858</xdr:rowOff>
    </xdr:to>
    <xdr:graphicFrame macro="">
      <xdr:nvGraphicFramePr>
        <xdr:cNvPr id="4" name="Diagram 3">
          <a:extLst>
            <a:ext uri="{FF2B5EF4-FFF2-40B4-BE49-F238E27FC236}">
              <a16:creationId xmlns="" xmlns:a16="http://schemas.microsoft.com/office/drawing/2014/main" id="{BD7EC20B-CD3D-4714-8A84-866878ED28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299357</xdr:colOff>
      <xdr:row>51</xdr:row>
      <xdr:rowOff>54428</xdr:rowOff>
    </xdr:from>
    <xdr:to>
      <xdr:col>20</xdr:col>
      <xdr:colOff>204108</xdr:colOff>
      <xdr:row>83</xdr:row>
      <xdr:rowOff>136071</xdr:rowOff>
    </xdr:to>
    <xdr:graphicFrame macro="">
      <xdr:nvGraphicFramePr>
        <xdr:cNvPr id="6" name="Diagram 5">
          <a:extLst>
            <a:ext uri="{FF2B5EF4-FFF2-40B4-BE49-F238E27FC236}">
              <a16:creationId xmlns="" xmlns:a16="http://schemas.microsoft.com/office/drawing/2014/main" id="{67DCBE01-D707-4B1E-B2AF-92BAD62A50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390524</xdr:colOff>
      <xdr:row>14</xdr:row>
      <xdr:rowOff>47624</xdr:rowOff>
    </xdr:from>
    <xdr:to>
      <xdr:col>15</xdr:col>
      <xdr:colOff>1504951</xdr:colOff>
      <xdr:row>41</xdr:row>
      <xdr:rowOff>0</xdr:rowOff>
    </xdr:to>
    <xdr:graphicFrame macro="">
      <xdr:nvGraphicFramePr>
        <xdr:cNvPr id="2" name="Diagram 1">
          <a:extLst>
            <a:ext uri="{FF2B5EF4-FFF2-40B4-BE49-F238E27FC236}">
              <a16:creationId xmlns="" xmlns:a16="http://schemas.microsoft.com/office/drawing/2014/main" id="{48221D19-8F4A-489F-B34D-473CFC7F7F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Thomas Ahrens Nielsen" id="{6AE7618A-E0B6-465A-9BE5-6EAA66DA70F2}" userId="S::tan@planenergi.dk::a248c4d7-f4f9-4cf9-8780-454d31fd0788" providerId="AD"/>
</personList>
</file>

<file path=xl/theme/theme1.xml><?xml version="1.0" encoding="utf-8"?>
<a:theme xmlns:a="http://schemas.openxmlformats.org/drawingml/2006/main" name="Office-tema">
  <a:themeElements>
    <a:clrScheme name="Blå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45" dT="2020-12-18T10:49:24.36" personId="{6AE7618A-E0B6-465A-9BE5-6EAA66DA70F2}" id="{90E75199-905E-4B16-9E59-54F5D32C9A0F}">
    <text>Varmepumpe Mjelby og langå se ark1 for beregning. 
erstattes af VP - Varmeforbrug der skal dækkes er = 35 TJ</text>
  </threadedComment>
</ThreadedComments>
</file>

<file path=xl/threadedComments/threadedComment2.xml><?xml version="1.0" encoding="utf-8"?>
<ThreadedComments xmlns="http://schemas.microsoft.com/office/spreadsheetml/2018/threadedcomments" xmlns:x="http://schemas.openxmlformats.org/spreadsheetml/2006/main">
  <threadedComment ref="I45" dT="2020-12-18T10:49:24.36" personId="{6AE7618A-E0B6-465A-9BE5-6EAA66DA70F2}" id="{8ACD2729-D317-462D-8215-5E253D327FB4}">
    <text>Varmepumpe Mjelby og langå se ark1 for beregning. 
erstattes af VP - Varmeforbrug der skal dækkes er = 35 TJ</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videnomvind.dk/svar-paa-rede-haand/hvor-mange-kilowatt-producerer-sol-og-vind-pr-hekt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sqref="A1:XFD1048576"/>
    </sheetView>
  </sheetViews>
  <sheetFormatPr defaultRowHeight="13.2"/>
  <cols>
    <col min="1" max="1" width="43.6640625" customWidth="1"/>
    <col min="2" max="2" width="14.77734375" customWidth="1"/>
    <col min="3" max="3" width="15.44140625" customWidth="1"/>
    <col min="4" max="4" width="16.6640625" customWidth="1"/>
    <col min="5" max="5" width="17" customWidth="1"/>
    <col min="6" max="6" width="18.44140625" customWidth="1"/>
    <col min="7" max="7" width="17.88671875" customWidth="1"/>
    <col min="8" max="8" width="18.21875" customWidth="1"/>
    <col min="9" max="9" width="15.109375" customWidth="1"/>
    <col min="10" max="10" width="15.77734375" customWidth="1"/>
    <col min="11" max="11" width="17.109375" customWidth="1"/>
  </cols>
  <sheetData>
    <row r="1" spans="1:10">
      <c r="A1" t="s">
        <v>339</v>
      </c>
    </row>
    <row r="3" spans="1:10" ht="15.6">
      <c r="A3" s="291" t="s">
        <v>167</v>
      </c>
      <c r="B3" s="291" t="s">
        <v>165</v>
      </c>
      <c r="C3" s="421" t="s">
        <v>165</v>
      </c>
      <c r="D3" s="421" t="s">
        <v>165</v>
      </c>
      <c r="E3" s="421" t="s">
        <v>336</v>
      </c>
      <c r="F3" s="421" t="s">
        <v>336</v>
      </c>
      <c r="G3" s="421" t="s">
        <v>340</v>
      </c>
      <c r="H3" s="421" t="s">
        <v>340</v>
      </c>
      <c r="I3" s="421" t="s">
        <v>165</v>
      </c>
      <c r="J3" s="421" t="s">
        <v>165</v>
      </c>
    </row>
    <row r="4" spans="1:10">
      <c r="B4" t="s">
        <v>341</v>
      </c>
      <c r="C4" t="s">
        <v>342</v>
      </c>
      <c r="D4" t="s">
        <v>343</v>
      </c>
      <c r="E4" t="s">
        <v>344</v>
      </c>
      <c r="F4" t="s">
        <v>345</v>
      </c>
      <c r="G4" t="s">
        <v>346</v>
      </c>
      <c r="H4" t="s">
        <v>347</v>
      </c>
      <c r="I4" t="s">
        <v>348</v>
      </c>
      <c r="J4" t="s">
        <v>349</v>
      </c>
    </row>
    <row r="5" spans="1:10">
      <c r="A5" t="s">
        <v>153</v>
      </c>
      <c r="B5">
        <v>127</v>
      </c>
      <c r="C5">
        <v>31</v>
      </c>
      <c r="D5">
        <v>31</v>
      </c>
      <c r="E5">
        <v>31</v>
      </c>
      <c r="F5">
        <v>0</v>
      </c>
      <c r="G5">
        <v>0</v>
      </c>
      <c r="H5">
        <v>0</v>
      </c>
      <c r="I5">
        <v>19</v>
      </c>
      <c r="J5">
        <v>16</v>
      </c>
    </row>
    <row r="6" spans="1:10">
      <c r="A6" t="s">
        <v>350</v>
      </c>
      <c r="B6">
        <v>204</v>
      </c>
      <c r="C6">
        <v>12</v>
      </c>
      <c r="D6">
        <v>12</v>
      </c>
      <c r="E6">
        <v>12</v>
      </c>
      <c r="F6">
        <v>0</v>
      </c>
      <c r="G6">
        <v>0</v>
      </c>
      <c r="H6">
        <v>0</v>
      </c>
      <c r="I6">
        <v>6</v>
      </c>
      <c r="J6">
        <v>6</v>
      </c>
    </row>
    <row r="7" spans="1:10">
      <c r="A7" t="s">
        <v>246</v>
      </c>
      <c r="B7">
        <v>55</v>
      </c>
      <c r="C7">
        <v>44</v>
      </c>
      <c r="D7">
        <v>44</v>
      </c>
      <c r="E7">
        <v>30</v>
      </c>
      <c r="F7">
        <v>44</v>
      </c>
      <c r="G7">
        <v>14</v>
      </c>
      <c r="H7">
        <v>0</v>
      </c>
      <c r="I7">
        <v>44</v>
      </c>
      <c r="J7">
        <v>44</v>
      </c>
    </row>
    <row r="8" spans="1:10">
      <c r="A8" t="s">
        <v>156</v>
      </c>
      <c r="B8">
        <v>234</v>
      </c>
      <c r="C8">
        <v>265</v>
      </c>
      <c r="D8">
        <v>265</v>
      </c>
      <c r="E8">
        <f>(41+6)</f>
        <v>47</v>
      </c>
      <c r="F8">
        <f>(138+23)</f>
        <v>161</v>
      </c>
      <c r="G8">
        <f>D8-E8</f>
        <v>218</v>
      </c>
      <c r="H8">
        <f>D8-F8</f>
        <v>104</v>
      </c>
      <c r="I8">
        <v>243</v>
      </c>
      <c r="J8">
        <v>156</v>
      </c>
    </row>
    <row r="9" spans="1:10" ht="14.4">
      <c r="A9" s="420" t="s">
        <v>157</v>
      </c>
      <c r="B9">
        <v>221</v>
      </c>
      <c r="C9" s="420">
        <v>-16</v>
      </c>
      <c r="D9">
        <v>0</v>
      </c>
      <c r="E9">
        <v>0</v>
      </c>
      <c r="F9">
        <v>0</v>
      </c>
      <c r="G9">
        <v>0</v>
      </c>
      <c r="H9">
        <v>0</v>
      </c>
      <c r="I9">
        <v>0</v>
      </c>
      <c r="J9">
        <v>0</v>
      </c>
    </row>
    <row r="10" spans="1:10" ht="14.4">
      <c r="A10" t="s">
        <v>337</v>
      </c>
      <c r="B10">
        <v>382</v>
      </c>
      <c r="C10">
        <v>360</v>
      </c>
      <c r="D10">
        <v>360</v>
      </c>
      <c r="E10">
        <v>63</v>
      </c>
      <c r="F10">
        <v>181</v>
      </c>
      <c r="G10" s="422">
        <f>D10-E10</f>
        <v>297</v>
      </c>
      <c r="H10" s="422">
        <f>D10-F10</f>
        <v>179</v>
      </c>
      <c r="I10">
        <v>353</v>
      </c>
      <c r="J10">
        <v>352</v>
      </c>
    </row>
    <row r="11" spans="1:10">
      <c r="A11" t="s">
        <v>338</v>
      </c>
      <c r="B11">
        <v>14</v>
      </c>
      <c r="C11">
        <v>13</v>
      </c>
      <c r="D11">
        <v>13</v>
      </c>
      <c r="E11">
        <v>0</v>
      </c>
      <c r="F11">
        <v>0</v>
      </c>
      <c r="G11">
        <v>13</v>
      </c>
      <c r="H11">
        <v>13</v>
      </c>
      <c r="I11">
        <v>13</v>
      </c>
      <c r="J11">
        <v>13</v>
      </c>
    </row>
    <row r="12" spans="1:10">
      <c r="A12" t="s">
        <v>351</v>
      </c>
      <c r="B12">
        <v>26</v>
      </c>
      <c r="C12">
        <v>19</v>
      </c>
      <c r="D12">
        <v>19</v>
      </c>
      <c r="E12">
        <v>0</v>
      </c>
      <c r="F12">
        <v>0</v>
      </c>
      <c r="G12">
        <v>17</v>
      </c>
      <c r="H12">
        <v>13</v>
      </c>
      <c r="I12">
        <v>17</v>
      </c>
      <c r="J12">
        <v>13</v>
      </c>
    </row>
    <row r="13" spans="1:10" ht="14.4">
      <c r="A13" s="423" t="s">
        <v>332</v>
      </c>
      <c r="B13" s="423">
        <f t="shared" ref="B13:J13" si="0">SUM(B5:B12)</f>
        <v>1263</v>
      </c>
      <c r="C13">
        <f t="shared" si="0"/>
        <v>728</v>
      </c>
      <c r="D13" s="423">
        <f t="shared" si="0"/>
        <v>744</v>
      </c>
      <c r="E13">
        <f t="shared" si="0"/>
        <v>183</v>
      </c>
      <c r="F13">
        <f t="shared" si="0"/>
        <v>386</v>
      </c>
      <c r="G13" s="423">
        <f t="shared" si="0"/>
        <v>559</v>
      </c>
      <c r="H13" s="423">
        <f t="shared" si="0"/>
        <v>309</v>
      </c>
      <c r="I13" s="423">
        <f t="shared" si="0"/>
        <v>695</v>
      </c>
      <c r="J13" s="423">
        <f t="shared" si="0"/>
        <v>600</v>
      </c>
    </row>
    <row r="14" spans="1:10" ht="14.4">
      <c r="A14" s="423" t="s">
        <v>352</v>
      </c>
      <c r="B14">
        <v>12.9</v>
      </c>
      <c r="C14">
        <v>7.4</v>
      </c>
      <c r="D14">
        <v>7.6</v>
      </c>
    </row>
    <row r="16" spans="1:10">
      <c r="A16" t="s">
        <v>353</v>
      </c>
    </row>
    <row r="17" spans="1:2">
      <c r="A17" t="s">
        <v>354</v>
      </c>
    </row>
    <row r="20" spans="1:2">
      <c r="A20" t="s">
        <v>355</v>
      </c>
      <c r="B20" s="424">
        <f>0.3*B13</f>
        <v>378.9</v>
      </c>
    </row>
    <row r="21" spans="1:2">
      <c r="A21" t="s">
        <v>356</v>
      </c>
      <c r="B21" s="425">
        <f>G13-B20</f>
        <v>180.10000000000002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V100"/>
  <sheetViews>
    <sheetView showGridLines="0" showZeros="0" tabSelected="1" topLeftCell="A25" zoomScale="85" zoomScaleNormal="85" workbookViewId="0">
      <selection activeCell="Q43" sqref="Q43"/>
    </sheetView>
  </sheetViews>
  <sheetFormatPr defaultColWidth="9.109375" defaultRowHeight="13.2"/>
  <cols>
    <col min="1" max="23" width="7.109375" style="18" customWidth="1"/>
    <col min="24" max="24" width="8.6640625" style="18" customWidth="1"/>
    <col min="25" max="25" width="58.33203125" style="6" bestFit="1" customWidth="1"/>
    <col min="26" max="29" width="5.6640625" style="18" customWidth="1"/>
    <col min="30" max="34" width="8.6640625" style="18" customWidth="1"/>
    <col min="35" max="43" width="7.109375" style="18" customWidth="1"/>
    <col min="44" max="16384" width="9.109375" style="6"/>
  </cols>
  <sheetData>
    <row r="1" spans="1:48" ht="15" customHeight="1">
      <c r="A1" s="224" t="s">
        <v>48</v>
      </c>
      <c r="B1" s="225"/>
      <c r="C1" s="225"/>
      <c r="D1" s="427">
        <v>114140</v>
      </c>
      <c r="E1" s="428"/>
      <c r="F1" s="16"/>
      <c r="G1" s="16"/>
      <c r="H1" s="16"/>
      <c r="I1" s="16"/>
      <c r="K1" s="16"/>
      <c r="L1" s="16"/>
      <c r="M1" s="16"/>
      <c r="N1" s="16"/>
      <c r="O1" s="16"/>
      <c r="P1" s="16"/>
      <c r="Q1" s="16"/>
      <c r="R1" s="16"/>
      <c r="S1" s="16"/>
      <c r="T1" s="16"/>
      <c r="U1" s="16"/>
      <c r="V1" s="204"/>
      <c r="W1" s="204"/>
      <c r="X1" s="204"/>
      <c r="Y1" s="429" t="s">
        <v>73</v>
      </c>
      <c r="Z1" s="204"/>
      <c r="AA1" s="204"/>
      <c r="AB1" s="204"/>
      <c r="AC1" s="204"/>
      <c r="AD1" s="16"/>
      <c r="AE1" s="16"/>
      <c r="AF1" s="16"/>
      <c r="AG1" s="16"/>
      <c r="AH1" s="16"/>
      <c r="AI1" s="16"/>
      <c r="AJ1" s="16"/>
      <c r="AK1" s="16"/>
      <c r="AL1" s="16"/>
      <c r="AM1" s="16"/>
      <c r="AN1" s="16"/>
      <c r="AO1" s="16"/>
      <c r="AP1" s="16"/>
      <c r="AQ1" s="16"/>
    </row>
    <row r="2" spans="1:48" ht="15" customHeight="1">
      <c r="A2" s="226" t="s">
        <v>50</v>
      </c>
      <c r="B2" s="16"/>
      <c r="C2" s="16"/>
      <c r="D2" s="122">
        <v>91.85</v>
      </c>
      <c r="E2" s="227" t="s">
        <v>49</v>
      </c>
      <c r="F2" s="16"/>
      <c r="G2" s="16"/>
      <c r="H2" s="124"/>
      <c r="I2" s="16"/>
      <c r="J2" s="16"/>
      <c r="K2" s="16"/>
      <c r="L2" s="16"/>
      <c r="M2" s="16"/>
      <c r="N2" s="16"/>
      <c r="O2" s="16"/>
      <c r="P2" s="16"/>
      <c r="Q2" s="16"/>
      <c r="R2" s="16"/>
      <c r="S2" s="16"/>
      <c r="T2" s="16"/>
      <c r="U2" s="16"/>
      <c r="V2" s="204"/>
      <c r="W2" s="204"/>
      <c r="X2" s="204"/>
      <c r="Y2" s="429"/>
      <c r="Z2" s="204"/>
      <c r="AA2" s="204"/>
      <c r="AB2" s="204"/>
      <c r="AC2" s="204"/>
      <c r="AD2" s="16"/>
      <c r="AE2" s="16"/>
      <c r="AF2" s="16"/>
      <c r="AG2" s="16"/>
      <c r="AH2" s="16"/>
      <c r="AI2" s="16"/>
      <c r="AJ2" s="16"/>
      <c r="AK2" s="16"/>
      <c r="AL2" s="16"/>
      <c r="AM2" s="16"/>
      <c r="AN2" s="16"/>
      <c r="AO2" s="16"/>
      <c r="AP2" s="16"/>
      <c r="AQ2" s="16"/>
    </row>
    <row r="3" spans="1:48" ht="15" customHeight="1" thickBot="1">
      <c r="A3" s="228" t="s">
        <v>46</v>
      </c>
      <c r="B3" s="229"/>
      <c r="C3" s="229"/>
      <c r="D3" s="229" t="s">
        <v>47</v>
      </c>
      <c r="E3" s="230"/>
      <c r="F3" s="16"/>
      <c r="G3" s="16"/>
      <c r="H3" s="16"/>
      <c r="I3" s="16"/>
      <c r="J3" s="16"/>
      <c r="K3" s="16"/>
      <c r="L3" s="16"/>
      <c r="M3" s="16"/>
      <c r="N3" s="16"/>
      <c r="O3" s="16"/>
      <c r="P3" s="16"/>
      <c r="Q3" s="16"/>
      <c r="R3" s="16"/>
      <c r="S3" s="16"/>
      <c r="T3" s="16"/>
      <c r="U3" s="16"/>
      <c r="V3" s="204"/>
      <c r="W3" s="204"/>
      <c r="X3" s="204"/>
      <c r="Y3" s="430" t="s">
        <v>261</v>
      </c>
      <c r="Z3" s="204"/>
      <c r="AA3" s="204"/>
      <c r="AB3" s="204"/>
      <c r="AC3" s="204"/>
      <c r="AD3" s="16"/>
      <c r="AE3" s="16"/>
      <c r="AF3" s="16"/>
      <c r="AG3" s="16"/>
      <c r="AH3" s="16"/>
      <c r="AI3" s="16"/>
      <c r="AJ3" s="16"/>
      <c r="AK3" s="16"/>
      <c r="AL3" s="16"/>
      <c r="AM3" s="16"/>
      <c r="AN3" s="16"/>
      <c r="AO3" s="16"/>
      <c r="AP3" s="16"/>
      <c r="AQ3" s="16"/>
    </row>
    <row r="4" spans="1:48" ht="15" customHeight="1">
      <c r="A4" s="16"/>
      <c r="B4" s="16"/>
      <c r="C4" s="16"/>
      <c r="D4" s="16"/>
      <c r="E4" s="16"/>
      <c r="F4" s="16"/>
      <c r="G4" s="16"/>
      <c r="H4" s="16"/>
      <c r="I4" s="16"/>
      <c r="J4" s="16"/>
      <c r="K4" s="16"/>
      <c r="L4" s="16"/>
      <c r="M4" s="16"/>
      <c r="N4" s="16"/>
      <c r="O4" s="16"/>
      <c r="P4" s="16"/>
      <c r="Q4" s="16"/>
      <c r="R4" s="16"/>
      <c r="S4" s="16"/>
      <c r="T4" s="16"/>
      <c r="U4" s="16"/>
      <c r="V4" s="204"/>
      <c r="W4" s="204"/>
      <c r="X4" s="204"/>
      <c r="Y4" s="430"/>
      <c r="Z4" s="204"/>
      <c r="AA4" s="204"/>
      <c r="AB4" s="204"/>
      <c r="AC4" s="204"/>
      <c r="AD4" s="16"/>
      <c r="AE4" s="16"/>
      <c r="AF4" s="16"/>
      <c r="AG4" s="16"/>
      <c r="AH4" s="16"/>
      <c r="AI4" s="16"/>
      <c r="AJ4" s="16"/>
      <c r="AK4" s="16"/>
      <c r="AL4" s="16"/>
      <c r="AM4" s="16"/>
      <c r="AN4" s="16"/>
      <c r="AO4" s="16"/>
      <c r="AP4" s="16"/>
      <c r="AQ4" s="16"/>
    </row>
    <row r="5" spans="1:48" ht="15" customHeight="1">
      <c r="A5" s="16"/>
      <c r="B5" s="16"/>
      <c r="C5" s="16"/>
      <c r="D5" s="16"/>
      <c r="E5" s="16"/>
      <c r="F5" s="16"/>
      <c r="G5" s="16"/>
      <c r="H5" s="16"/>
      <c r="I5" s="16"/>
      <c r="J5" s="16"/>
      <c r="K5" s="16"/>
      <c r="L5" s="16"/>
      <c r="M5" s="16"/>
      <c r="N5" s="16"/>
      <c r="O5" s="16"/>
      <c r="P5" s="16"/>
      <c r="Q5" s="16"/>
      <c r="R5" s="16"/>
      <c r="S5" s="16"/>
      <c r="T5" s="16"/>
      <c r="U5" s="16"/>
      <c r="V5" s="16"/>
      <c r="W5" s="16"/>
      <c r="X5" s="16"/>
      <c r="Z5" s="16"/>
      <c r="AA5" s="16"/>
      <c r="AB5" s="16"/>
      <c r="AC5" s="16"/>
      <c r="AD5" s="16"/>
      <c r="AE5" s="16"/>
      <c r="AF5" s="16"/>
      <c r="AG5" s="16"/>
      <c r="AH5" s="16"/>
      <c r="AI5" s="16"/>
      <c r="AJ5" s="16"/>
      <c r="AK5" s="16"/>
      <c r="AL5" s="16"/>
      <c r="AM5" s="16"/>
      <c r="AN5" s="16"/>
      <c r="AO5" s="16"/>
      <c r="AP5" s="16"/>
      <c r="AQ5" s="16"/>
    </row>
    <row r="6" spans="1:48" ht="15" customHeight="1">
      <c r="A6" s="426" t="s">
        <v>0</v>
      </c>
      <c r="B6" s="426"/>
      <c r="C6" s="426"/>
      <c r="D6" s="426"/>
      <c r="E6" s="426"/>
      <c r="F6" s="426"/>
      <c r="G6" s="426"/>
      <c r="H6" s="426"/>
      <c r="I6" s="426"/>
      <c r="J6" s="426"/>
      <c r="K6" s="426"/>
      <c r="L6" s="426"/>
      <c r="M6" s="426"/>
      <c r="N6" s="426"/>
      <c r="O6" s="426"/>
      <c r="P6" s="426"/>
      <c r="Q6" s="426"/>
      <c r="R6" s="426"/>
      <c r="S6" s="426"/>
      <c r="T6" s="426"/>
      <c r="U6" s="426"/>
      <c r="V6" s="426"/>
      <c r="W6" s="426"/>
      <c r="X6" s="426"/>
      <c r="Y6" s="201" t="s">
        <v>51</v>
      </c>
      <c r="Z6" s="426" t="s">
        <v>104</v>
      </c>
      <c r="AA6" s="426"/>
      <c r="AB6" s="426"/>
      <c r="AC6" s="426"/>
      <c r="AD6" s="426" t="s">
        <v>53</v>
      </c>
      <c r="AE6" s="426"/>
      <c r="AF6" s="426" t="s">
        <v>52</v>
      </c>
      <c r="AG6" s="426"/>
      <c r="AH6" s="205"/>
      <c r="AI6" s="426" t="s">
        <v>1</v>
      </c>
      <c r="AJ6" s="426"/>
      <c r="AK6" s="426"/>
      <c r="AL6" s="426"/>
      <c r="AM6" s="426"/>
      <c r="AN6" s="426"/>
      <c r="AO6" s="426"/>
      <c r="AP6" s="426"/>
      <c r="AQ6" s="426"/>
    </row>
    <row r="7" spans="1:48" s="9" customFormat="1" ht="159.9" customHeight="1" thickBot="1">
      <c r="A7" s="209" t="s">
        <v>74</v>
      </c>
      <c r="B7" s="207" t="s">
        <v>75</v>
      </c>
      <c r="C7" s="207" t="s">
        <v>76</v>
      </c>
      <c r="D7" s="207" t="s">
        <v>77</v>
      </c>
      <c r="E7" s="207" t="s">
        <v>78</v>
      </c>
      <c r="F7" s="207" t="s">
        <v>79</v>
      </c>
      <c r="G7" s="207" t="s">
        <v>80</v>
      </c>
      <c r="H7" s="207" t="s">
        <v>81</v>
      </c>
      <c r="I7" s="207" t="s">
        <v>82</v>
      </c>
      <c r="J7" s="207" t="s">
        <v>83</v>
      </c>
      <c r="K7" s="207" t="s">
        <v>84</v>
      </c>
      <c r="L7" s="207" t="s">
        <v>85</v>
      </c>
      <c r="M7" s="207" t="s">
        <v>86</v>
      </c>
      <c r="N7" s="207" t="s">
        <v>87</v>
      </c>
      <c r="O7" s="207" t="s">
        <v>88</v>
      </c>
      <c r="P7" s="207" t="s">
        <v>89</v>
      </c>
      <c r="Q7" s="207" t="s">
        <v>90</v>
      </c>
      <c r="R7" s="207" t="s">
        <v>91</v>
      </c>
      <c r="S7" s="207" t="s">
        <v>92</v>
      </c>
      <c r="T7" s="207" t="s">
        <v>93</v>
      </c>
      <c r="U7" s="207" t="s">
        <v>94</v>
      </c>
      <c r="V7" s="207" t="s">
        <v>95</v>
      </c>
      <c r="W7" s="207" t="s">
        <v>96</v>
      </c>
      <c r="X7" s="208" t="s">
        <v>97</v>
      </c>
      <c r="Y7" s="130"/>
      <c r="Z7" s="206" t="s">
        <v>98</v>
      </c>
      <c r="AA7" s="207" t="s">
        <v>99</v>
      </c>
      <c r="AB7" s="207" t="s">
        <v>100</v>
      </c>
      <c r="AC7" s="208" t="s">
        <v>101</v>
      </c>
      <c r="AD7" s="209" t="s">
        <v>102</v>
      </c>
      <c r="AE7" s="208" t="s">
        <v>103</v>
      </c>
      <c r="AF7" s="209" t="s">
        <v>102</v>
      </c>
      <c r="AG7" s="208" t="s">
        <v>103</v>
      </c>
      <c r="AH7" s="210" t="s">
        <v>105</v>
      </c>
      <c r="AI7" s="211" t="s">
        <v>106</v>
      </c>
      <c r="AJ7" s="207" t="s">
        <v>107</v>
      </c>
      <c r="AK7" s="207" t="s">
        <v>108</v>
      </c>
      <c r="AL7" s="207" t="s">
        <v>109</v>
      </c>
      <c r="AM7" s="207" t="s">
        <v>110</v>
      </c>
      <c r="AN7" s="207" t="s">
        <v>111</v>
      </c>
      <c r="AO7" s="212" t="s">
        <v>112</v>
      </c>
      <c r="AP7" s="212" t="s">
        <v>113</v>
      </c>
      <c r="AQ7" s="208" t="s">
        <v>114</v>
      </c>
    </row>
    <row r="8" spans="1:48" ht="15" customHeight="1">
      <c r="A8" s="319"/>
      <c r="B8" s="320"/>
      <c r="C8" s="320"/>
      <c r="D8" s="320"/>
      <c r="E8" s="320"/>
      <c r="F8" s="320"/>
      <c r="G8" s="320"/>
      <c r="H8" s="320"/>
      <c r="I8" s="320"/>
      <c r="J8" s="320"/>
      <c r="K8" s="320"/>
      <c r="L8" s="320"/>
      <c r="M8" s="320"/>
      <c r="N8" s="320"/>
      <c r="O8" s="320"/>
      <c r="P8" s="320"/>
      <c r="Q8" s="320"/>
      <c r="R8" s="320"/>
      <c r="S8" s="320"/>
      <c r="T8" s="320"/>
      <c r="U8" s="320"/>
      <c r="V8" s="320"/>
      <c r="W8" s="320"/>
      <c r="X8" s="321">
        <f t="shared" ref="X8:X80" si="0">SUM(A8:W8)</f>
        <v>0</v>
      </c>
      <c r="Y8" s="356" t="s">
        <v>3</v>
      </c>
      <c r="Z8" s="319"/>
      <c r="AA8" s="320">
        <v>44</v>
      </c>
      <c r="AB8" s="320"/>
      <c r="AC8" s="321"/>
      <c r="AD8" s="319">
        <f t="shared" ref="AD8:AD13" si="1">-AE8/$D$2%</f>
        <v>-100.21279754540507</v>
      </c>
      <c r="AE8" s="367">
        <f>AH8/AA8%</f>
        <v>92.045454545454547</v>
      </c>
      <c r="AF8" s="368"/>
      <c r="AG8" s="367"/>
      <c r="AH8" s="369">
        <f t="shared" ref="AH8:AH14" si="2">SUM(AI8:AQ8)</f>
        <v>40.5</v>
      </c>
      <c r="AI8" s="361">
        <v>40.5</v>
      </c>
      <c r="AJ8" s="142"/>
      <c r="AK8" s="142"/>
      <c r="AL8" s="142"/>
      <c r="AM8" s="142"/>
      <c r="AN8" s="142"/>
      <c r="AO8" s="142"/>
      <c r="AP8" s="142"/>
      <c r="AQ8" s="143"/>
    </row>
    <row r="9" spans="1:48" ht="15" customHeight="1">
      <c r="A9" s="319"/>
      <c r="B9" s="320"/>
      <c r="C9" s="320"/>
      <c r="D9" s="320"/>
      <c r="E9" s="320"/>
      <c r="F9" s="320"/>
      <c r="G9" s="320"/>
      <c r="H9" s="320"/>
      <c r="I9" s="320"/>
      <c r="J9" s="320"/>
      <c r="K9" s="320"/>
      <c r="L9" s="320"/>
      <c r="M9" s="320"/>
      <c r="N9" s="320"/>
      <c r="O9" s="320"/>
      <c r="P9" s="320"/>
      <c r="Q9" s="320"/>
      <c r="R9" s="320"/>
      <c r="S9" s="320"/>
      <c r="T9" s="320"/>
      <c r="U9" s="320"/>
      <c r="V9" s="320"/>
      <c r="W9" s="320"/>
      <c r="X9" s="321">
        <f t="shared" si="0"/>
        <v>0</v>
      </c>
      <c r="Y9" s="356" t="s">
        <v>4</v>
      </c>
      <c r="Z9" s="319"/>
      <c r="AA9" s="320"/>
      <c r="AB9" s="320">
        <v>90</v>
      </c>
      <c r="AC9" s="321"/>
      <c r="AD9" s="319">
        <f t="shared" si="1"/>
        <v>-7.5001512127260632</v>
      </c>
      <c r="AE9" s="367">
        <f>AH9/AB9%</f>
        <v>6.8888888888888893</v>
      </c>
      <c r="AF9" s="368"/>
      <c r="AG9" s="367"/>
      <c r="AH9" s="369">
        <f t="shared" si="2"/>
        <v>6.2</v>
      </c>
      <c r="AI9" s="365">
        <v>6.2</v>
      </c>
      <c r="AJ9" s="142"/>
      <c r="AK9" s="142"/>
      <c r="AL9" s="142"/>
      <c r="AM9" s="142"/>
      <c r="AN9" s="142"/>
      <c r="AO9" s="142"/>
      <c r="AP9" s="142"/>
      <c r="AQ9" s="143"/>
    </row>
    <row r="10" spans="1:48" ht="15" customHeight="1">
      <c r="A10" s="319"/>
      <c r="B10" s="320"/>
      <c r="C10" s="320"/>
      <c r="D10" s="320"/>
      <c r="E10" s="320"/>
      <c r="F10" s="320"/>
      <c r="G10" s="320"/>
      <c r="H10" s="320"/>
      <c r="I10" s="320"/>
      <c r="J10" s="320"/>
      <c r="K10" s="320"/>
      <c r="L10" s="320"/>
      <c r="M10" s="320"/>
      <c r="N10" s="320"/>
      <c r="O10" s="320"/>
      <c r="P10" s="320"/>
      <c r="Q10" s="320"/>
      <c r="R10" s="320"/>
      <c r="S10" s="320"/>
      <c r="T10" s="320"/>
      <c r="U10" s="320"/>
      <c r="V10" s="320"/>
      <c r="W10" s="320"/>
      <c r="X10" s="321">
        <f t="shared" si="0"/>
        <v>0</v>
      </c>
      <c r="Y10" s="356" t="s">
        <v>5</v>
      </c>
      <c r="Z10" s="319"/>
      <c r="AA10" s="320"/>
      <c r="AB10" s="320">
        <v>100</v>
      </c>
      <c r="AC10" s="321"/>
      <c r="AD10" s="319">
        <f t="shared" si="1"/>
        <v>-32.00870985302123</v>
      </c>
      <c r="AE10" s="367">
        <f>AH10/AB10%</f>
        <v>29.4</v>
      </c>
      <c r="AF10" s="368"/>
      <c r="AG10" s="367"/>
      <c r="AH10" s="369">
        <f t="shared" si="2"/>
        <v>29.4</v>
      </c>
      <c r="AI10" s="365">
        <v>29.4</v>
      </c>
      <c r="AJ10" s="142"/>
      <c r="AK10" s="142"/>
      <c r="AL10" s="142"/>
      <c r="AM10" s="142"/>
      <c r="AN10" s="142"/>
      <c r="AO10" s="142"/>
      <c r="AP10" s="142"/>
      <c r="AQ10" s="143"/>
    </row>
    <row r="11" spans="1:48" ht="15" customHeight="1">
      <c r="A11" s="319"/>
      <c r="B11" s="320"/>
      <c r="C11" s="320"/>
      <c r="D11" s="320"/>
      <c r="E11" s="320"/>
      <c r="F11" s="320"/>
      <c r="G11" s="320"/>
      <c r="H11" s="320"/>
      <c r="I11" s="320"/>
      <c r="J11" s="320"/>
      <c r="K11" s="320"/>
      <c r="L11" s="320"/>
      <c r="M11" s="320"/>
      <c r="N11" s="320"/>
      <c r="O11" s="320"/>
      <c r="P11" s="320"/>
      <c r="Q11" s="320"/>
      <c r="R11" s="320"/>
      <c r="S11" s="320"/>
      <c r="T11" s="320"/>
      <c r="U11" s="320"/>
      <c r="V11" s="320"/>
      <c r="W11" s="320"/>
      <c r="X11" s="321">
        <f t="shared" si="0"/>
        <v>0</v>
      </c>
      <c r="Y11" s="356" t="s">
        <v>18</v>
      </c>
      <c r="Z11" s="319"/>
      <c r="AA11" s="320">
        <v>50</v>
      </c>
      <c r="AB11" s="320"/>
      <c r="AC11" s="321"/>
      <c r="AD11" s="319">
        <f t="shared" si="1"/>
        <v>-259.23549706368334</v>
      </c>
      <c r="AE11" s="367">
        <f>AH11/AA11%</f>
        <v>238.10780405299315</v>
      </c>
      <c r="AF11" s="368"/>
      <c r="AG11" s="367"/>
      <c r="AH11" s="369">
        <f t="shared" si="2"/>
        <v>119.05390202649657</v>
      </c>
      <c r="AI11" s="365">
        <v>46.010289091700542</v>
      </c>
      <c r="AJ11" s="361">
        <v>22.718153257843227</v>
      </c>
      <c r="AK11" s="361">
        <v>13.335913320128627</v>
      </c>
      <c r="AL11" s="361">
        <v>19.417644533969696</v>
      </c>
      <c r="AM11" s="361">
        <v>0.43494709198286113</v>
      </c>
      <c r="AN11" s="361">
        <v>10.511732351298905</v>
      </c>
      <c r="AO11" s="361">
        <v>9.4099299204511919E-2</v>
      </c>
      <c r="AP11" s="361">
        <v>6.5311230803682063</v>
      </c>
      <c r="AQ11" s="143"/>
    </row>
    <row r="12" spans="1:48" ht="15" customHeight="1">
      <c r="A12" s="319"/>
      <c r="B12" s="320"/>
      <c r="C12" s="320"/>
      <c r="D12" s="320"/>
      <c r="E12" s="320"/>
      <c r="F12" s="320"/>
      <c r="G12" s="320"/>
      <c r="H12" s="320"/>
      <c r="I12" s="320"/>
      <c r="J12" s="320"/>
      <c r="K12" s="320"/>
      <c r="L12" s="320"/>
      <c r="M12" s="320"/>
      <c r="N12" s="320"/>
      <c r="O12" s="320"/>
      <c r="P12" s="320"/>
      <c r="Q12" s="320"/>
      <c r="R12" s="320"/>
      <c r="S12" s="320"/>
      <c r="T12" s="320"/>
      <c r="U12" s="320"/>
      <c r="V12" s="320"/>
      <c r="W12" s="320"/>
      <c r="X12" s="321">
        <f t="shared" si="0"/>
        <v>0</v>
      </c>
      <c r="Y12" s="356" t="s">
        <v>19</v>
      </c>
      <c r="Z12" s="319"/>
      <c r="AA12" s="320">
        <v>150</v>
      </c>
      <c r="AB12" s="320"/>
      <c r="AC12" s="321"/>
      <c r="AD12" s="319">
        <f t="shared" si="1"/>
        <v>-232.82836592102817</v>
      </c>
      <c r="AE12" s="367">
        <f>AH12/AA12%</f>
        <v>213.85285409846438</v>
      </c>
      <c r="AF12" s="368"/>
      <c r="AG12" s="367"/>
      <c r="AH12" s="369">
        <f t="shared" si="2"/>
        <v>320.77928114769657</v>
      </c>
      <c r="AI12" s="365">
        <v>162.9654755570555</v>
      </c>
      <c r="AJ12" s="361"/>
      <c r="AK12" s="361">
        <v>44.808668755632191</v>
      </c>
      <c r="AL12" s="361">
        <v>65.243285634138189</v>
      </c>
      <c r="AM12" s="361">
        <v>1.7397883679314448</v>
      </c>
      <c r="AN12" s="361">
        <v>42.04692940519562</v>
      </c>
      <c r="AO12" s="361">
        <v>5.6459579522707144E-2</v>
      </c>
      <c r="AP12" s="361">
        <v>3.9186738482209234</v>
      </c>
      <c r="AQ12" s="143"/>
    </row>
    <row r="13" spans="1:48" ht="15" customHeight="1">
      <c r="A13" s="319"/>
      <c r="B13" s="320"/>
      <c r="C13" s="320"/>
      <c r="D13" s="320"/>
      <c r="E13" s="320"/>
      <c r="F13" s="320"/>
      <c r="G13" s="320"/>
      <c r="H13" s="320"/>
      <c r="I13" s="320"/>
      <c r="J13" s="320"/>
      <c r="K13" s="320"/>
      <c r="L13" s="320"/>
      <c r="M13" s="320"/>
      <c r="N13" s="320"/>
      <c r="O13" s="320"/>
      <c r="P13" s="320"/>
      <c r="Q13" s="320"/>
      <c r="R13" s="320"/>
      <c r="S13" s="320"/>
      <c r="T13" s="320"/>
      <c r="U13" s="320"/>
      <c r="V13" s="320"/>
      <c r="W13" s="320"/>
      <c r="X13" s="321">
        <f t="shared" si="0"/>
        <v>0</v>
      </c>
      <c r="Y13" s="356" t="s">
        <v>71</v>
      </c>
      <c r="Z13" s="319"/>
      <c r="AA13" s="320">
        <v>85</v>
      </c>
      <c r="AB13" s="320"/>
      <c r="AC13" s="321"/>
      <c r="AD13" s="319">
        <f t="shared" si="1"/>
        <v>-1586.6676679610318</v>
      </c>
      <c r="AE13" s="367">
        <f>AH13/AA13%</f>
        <v>1457.3542530222078</v>
      </c>
      <c r="AF13" s="368"/>
      <c r="AG13" s="367"/>
      <c r="AH13" s="369">
        <f t="shared" si="2"/>
        <v>1238.7511150688765</v>
      </c>
      <c r="AI13" s="365">
        <v>255.84689140733357</v>
      </c>
      <c r="AJ13" s="361">
        <v>104.41936367771646</v>
      </c>
      <c r="AK13" s="361">
        <v>42.621578971131093</v>
      </c>
      <c r="AL13" s="361">
        <v>62.058791930567139</v>
      </c>
      <c r="AM13" s="361">
        <v>10.598210807982381</v>
      </c>
      <c r="AN13" s="361">
        <v>256.13587829331669</v>
      </c>
      <c r="AO13" s="361">
        <v>0.87449615394059732</v>
      </c>
      <c r="AP13" s="361">
        <v>60.695903826888525</v>
      </c>
      <c r="AQ13" s="316">
        <f>1+AB99+51.5</f>
        <v>445.5</v>
      </c>
    </row>
    <row r="14" spans="1:48" ht="15" customHeight="1">
      <c r="A14" s="319"/>
      <c r="B14" s="370"/>
      <c r="C14" s="320"/>
      <c r="D14" s="320"/>
      <c r="E14" s="320"/>
      <c r="F14" s="320"/>
      <c r="G14" s="320"/>
      <c r="H14" s="320"/>
      <c r="I14" s="320"/>
      <c r="J14" s="320"/>
      <c r="K14" s="320"/>
      <c r="L14" s="320"/>
      <c r="M14" s="320"/>
      <c r="N14" s="361">
        <f>AH14-AE14</f>
        <v>248</v>
      </c>
      <c r="O14" s="320"/>
      <c r="P14" s="320"/>
      <c r="Q14" s="320"/>
      <c r="R14" s="320"/>
      <c r="S14" s="320"/>
      <c r="T14" s="320"/>
      <c r="U14" s="320"/>
      <c r="V14" s="320"/>
      <c r="W14" s="320"/>
      <c r="X14" s="321">
        <f t="shared" si="0"/>
        <v>248</v>
      </c>
      <c r="Y14" s="356" t="s">
        <v>54</v>
      </c>
      <c r="Z14" s="319"/>
      <c r="AA14" s="320"/>
      <c r="AB14" s="320">
        <v>300</v>
      </c>
      <c r="AC14" s="321"/>
      <c r="AD14" s="319">
        <f>-AE14/$D$2%</f>
        <v>-135.00272182906915</v>
      </c>
      <c r="AE14" s="316">
        <f>9+6+109</f>
        <v>124</v>
      </c>
      <c r="AF14" s="368"/>
      <c r="AG14" s="367"/>
      <c r="AH14" s="369">
        <f t="shared" si="2"/>
        <v>372</v>
      </c>
      <c r="AI14" s="371">
        <f>AE14*AB14/100</f>
        <v>372</v>
      </c>
      <c r="AJ14" s="370"/>
      <c r="AK14" s="370"/>
      <c r="AL14" s="370"/>
      <c r="AM14" s="370"/>
      <c r="AN14" s="370"/>
      <c r="AO14" s="370"/>
      <c r="AP14" s="370"/>
      <c r="AQ14" s="367"/>
      <c r="AV14" s="11"/>
    </row>
    <row r="15" spans="1:48" ht="15" customHeight="1">
      <c r="A15" s="363">
        <f>Z15%*AD15</f>
        <v>-474.44595351550436</v>
      </c>
      <c r="B15" s="370"/>
      <c r="C15" s="320"/>
      <c r="D15" s="320"/>
      <c r="E15" s="320"/>
      <c r="F15" s="320"/>
      <c r="G15" s="320"/>
      <c r="H15" s="320"/>
      <c r="I15" s="320"/>
      <c r="J15" s="320"/>
      <c r="K15" s="320"/>
      <c r="L15" s="320"/>
      <c r="M15" s="320"/>
      <c r="N15" s="320"/>
      <c r="O15" s="320"/>
      <c r="P15" s="320"/>
      <c r="Q15" s="320"/>
      <c r="R15" s="320"/>
      <c r="S15" s="320"/>
      <c r="T15" s="320"/>
      <c r="U15" s="320"/>
      <c r="V15" s="320"/>
      <c r="W15" s="320"/>
      <c r="X15" s="321">
        <f t="shared" si="0"/>
        <v>-474.44595351550436</v>
      </c>
      <c r="Y15" s="356" t="s">
        <v>34</v>
      </c>
      <c r="Z15" s="319">
        <v>100</v>
      </c>
      <c r="AA15" s="320"/>
      <c r="AB15" s="320"/>
      <c r="AC15" s="321"/>
      <c r="AD15" s="319">
        <f>-SUM(AD16:AD80,AD8:AD14)</f>
        <v>-474.44595351550436</v>
      </c>
      <c r="AE15" s="367"/>
      <c r="AF15" s="368"/>
      <c r="AG15" s="367"/>
      <c r="AH15" s="369">
        <f t="shared" ref="AH15:AH52" si="3">SUM(AI15:AQ15)</f>
        <v>0</v>
      </c>
      <c r="AI15" s="368"/>
      <c r="AJ15" s="370"/>
      <c r="AK15" s="370"/>
      <c r="AL15" s="370"/>
      <c r="AM15" s="370"/>
      <c r="AN15" s="370"/>
      <c r="AO15" s="370"/>
      <c r="AP15" s="370"/>
      <c r="AQ15" s="367"/>
      <c r="AV15" s="11"/>
    </row>
    <row r="16" spans="1:48" ht="15" customHeight="1">
      <c r="A16" s="372"/>
      <c r="B16" s="361">
        <v>43</v>
      </c>
      <c r="C16" s="326"/>
      <c r="D16" s="326"/>
      <c r="E16" s="373"/>
      <c r="F16" s="373"/>
      <c r="G16" s="373"/>
      <c r="H16" s="373"/>
      <c r="I16" s="373"/>
      <c r="J16" s="326"/>
      <c r="K16" s="326"/>
      <c r="L16" s="326"/>
      <c r="M16" s="326"/>
      <c r="N16" s="326"/>
      <c r="O16" s="326"/>
      <c r="P16" s="326"/>
      <c r="Q16" s="326"/>
      <c r="R16" s="326"/>
      <c r="S16" s="326"/>
      <c r="T16" s="326"/>
      <c r="U16" s="326"/>
      <c r="V16" s="326"/>
      <c r="W16" s="326"/>
      <c r="X16" s="321">
        <f t="shared" si="0"/>
        <v>43</v>
      </c>
      <c r="Y16" s="374" t="s">
        <v>72</v>
      </c>
      <c r="Z16" s="324"/>
      <c r="AA16" s="326"/>
      <c r="AB16" s="373">
        <v>38</v>
      </c>
      <c r="AC16" s="327"/>
      <c r="AD16" s="324"/>
      <c r="AE16" s="327"/>
      <c r="AF16" s="324"/>
      <c r="AG16" s="327"/>
      <c r="AH16" s="322">
        <f t="shared" si="3"/>
        <v>16.34</v>
      </c>
      <c r="AI16" s="152">
        <f>X16*AB16/100*0.2</f>
        <v>3.2680000000000002</v>
      </c>
      <c r="AJ16" s="273"/>
      <c r="AK16" s="273"/>
      <c r="AL16" s="273"/>
      <c r="AM16" s="273"/>
      <c r="AN16" s="273">
        <f>X16*AB16/100*0.6</f>
        <v>9.8040000000000003</v>
      </c>
      <c r="AO16" s="273"/>
      <c r="AP16" s="273"/>
      <c r="AQ16" s="274">
        <f>X16*AB16/100*0.2</f>
        <v>3.2680000000000002</v>
      </c>
      <c r="AV16" s="11"/>
    </row>
    <row r="17" spans="1:48" ht="15" customHeight="1">
      <c r="A17" s="319"/>
      <c r="B17" s="370"/>
      <c r="C17" s="320"/>
      <c r="D17" s="320"/>
      <c r="E17" s="311">
        <f>145.7*0.9*0</f>
        <v>0</v>
      </c>
      <c r="F17" s="370"/>
      <c r="G17" s="370"/>
      <c r="H17" s="370"/>
      <c r="I17" s="370"/>
      <c r="J17" s="320"/>
      <c r="K17" s="320"/>
      <c r="L17" s="320"/>
      <c r="M17" s="320"/>
      <c r="N17" s="370"/>
      <c r="O17" s="370"/>
      <c r="P17" s="370"/>
      <c r="Q17" s="370"/>
      <c r="R17" s="370"/>
      <c r="S17" s="370"/>
      <c r="T17" s="370"/>
      <c r="U17" s="370"/>
      <c r="V17" s="370"/>
      <c r="W17" s="370"/>
      <c r="X17" s="321">
        <f t="shared" si="0"/>
        <v>0</v>
      </c>
      <c r="Y17" s="356" t="s">
        <v>55</v>
      </c>
      <c r="Z17" s="319"/>
      <c r="AA17" s="320"/>
      <c r="AB17" s="370">
        <v>80</v>
      </c>
      <c r="AC17" s="321"/>
      <c r="AD17" s="319"/>
      <c r="AE17" s="321"/>
      <c r="AF17" s="319"/>
      <c r="AG17" s="321"/>
      <c r="AH17" s="322">
        <f t="shared" si="3"/>
        <v>0</v>
      </c>
      <c r="AI17" s="328">
        <f t="shared" ref="AI17:AI22" si="4">X17*AB17/100</f>
        <v>0</v>
      </c>
      <c r="AJ17" s="320"/>
      <c r="AK17" s="320"/>
      <c r="AL17" s="320"/>
      <c r="AM17" s="320"/>
      <c r="AN17" s="320"/>
      <c r="AO17" s="320"/>
      <c r="AP17" s="320"/>
      <c r="AQ17" s="321"/>
      <c r="AS17" s="11"/>
    </row>
    <row r="18" spans="1:48" ht="15" customHeight="1">
      <c r="A18" s="319"/>
      <c r="B18" s="370"/>
      <c r="C18" s="320"/>
      <c r="D18" s="320"/>
      <c r="E18" s="370"/>
      <c r="F18" s="370"/>
      <c r="G18" s="370"/>
      <c r="H18" s="370"/>
      <c r="I18" s="311">
        <f>(357.5*0.96)*0.8</f>
        <v>274.56</v>
      </c>
      <c r="J18" s="320"/>
      <c r="K18" s="320"/>
      <c r="L18" s="320"/>
      <c r="M18" s="320"/>
      <c r="N18" s="370"/>
      <c r="O18" s="370"/>
      <c r="P18" s="370"/>
      <c r="Q18" s="370"/>
      <c r="R18" s="370"/>
      <c r="S18" s="370"/>
      <c r="T18" s="370"/>
      <c r="U18" s="370"/>
      <c r="V18" s="370"/>
      <c r="W18" s="370"/>
      <c r="X18" s="321">
        <f t="shared" si="0"/>
        <v>274.56</v>
      </c>
      <c r="Y18" s="356" t="s">
        <v>56</v>
      </c>
      <c r="Z18" s="319"/>
      <c r="AA18" s="320"/>
      <c r="AB18" s="370">
        <v>85</v>
      </c>
      <c r="AC18" s="321"/>
      <c r="AD18" s="319"/>
      <c r="AE18" s="321"/>
      <c r="AF18" s="319"/>
      <c r="AG18" s="321"/>
      <c r="AH18" s="322">
        <f t="shared" si="3"/>
        <v>233.37599999999998</v>
      </c>
      <c r="AI18" s="328">
        <f t="shared" si="4"/>
        <v>233.37599999999998</v>
      </c>
      <c r="AJ18" s="320"/>
      <c r="AK18" s="320"/>
      <c r="AL18" s="320"/>
      <c r="AM18" s="320"/>
      <c r="AN18" s="320"/>
      <c r="AO18" s="320"/>
      <c r="AP18" s="320"/>
      <c r="AQ18" s="321"/>
      <c r="AS18" s="11"/>
    </row>
    <row r="19" spans="1:48" ht="15" customHeight="1">
      <c r="A19" s="319"/>
      <c r="B19" s="320"/>
      <c r="C19" s="320"/>
      <c r="D19" s="320"/>
      <c r="E19" s="320"/>
      <c r="F19" s="320"/>
      <c r="G19" s="320"/>
      <c r="H19" s="320"/>
      <c r="I19" s="142"/>
      <c r="J19" s="320"/>
      <c r="K19" s="320"/>
      <c r="L19" s="320"/>
      <c r="M19" s="320"/>
      <c r="N19" s="370"/>
      <c r="O19" s="370"/>
      <c r="P19" s="370"/>
      <c r="Q19" s="142"/>
      <c r="R19" s="142"/>
      <c r="S19" s="311">
        <f>393*0.9+36.4</f>
        <v>390.09999999999997</v>
      </c>
      <c r="T19" s="370"/>
      <c r="U19" s="370"/>
      <c r="V19" s="370"/>
      <c r="W19" s="370"/>
      <c r="X19" s="321">
        <f t="shared" si="0"/>
        <v>390.09999999999997</v>
      </c>
      <c r="Y19" s="356" t="s">
        <v>57</v>
      </c>
      <c r="Z19" s="319"/>
      <c r="AA19" s="320"/>
      <c r="AB19" s="370">
        <v>75</v>
      </c>
      <c r="AC19" s="321"/>
      <c r="AD19" s="319"/>
      <c r="AE19" s="321"/>
      <c r="AF19" s="319"/>
      <c r="AG19" s="321"/>
      <c r="AH19" s="322">
        <f t="shared" si="3"/>
        <v>292.57499999999999</v>
      </c>
      <c r="AI19" s="328">
        <f t="shared" si="4"/>
        <v>292.57499999999999</v>
      </c>
      <c r="AJ19" s="320"/>
      <c r="AK19" s="320"/>
      <c r="AL19" s="320"/>
      <c r="AM19" s="320"/>
      <c r="AN19" s="320"/>
      <c r="AO19" s="320"/>
      <c r="AP19" s="320"/>
      <c r="AQ19" s="321"/>
      <c r="AV19" s="11"/>
    </row>
    <row r="20" spans="1:48" ht="15" customHeight="1">
      <c r="A20" s="319"/>
      <c r="B20" s="320"/>
      <c r="C20" s="320"/>
      <c r="D20" s="320"/>
      <c r="E20" s="320"/>
      <c r="F20" s="320"/>
      <c r="G20" s="320"/>
      <c r="H20" s="320"/>
      <c r="I20" s="142"/>
      <c r="J20" s="320"/>
      <c r="K20" s="320"/>
      <c r="L20" s="320"/>
      <c r="M20" s="320"/>
      <c r="N20" s="370"/>
      <c r="O20" s="370"/>
      <c r="P20" s="370"/>
      <c r="Q20" s="142"/>
      <c r="R20" s="311">
        <f>362*0.9</f>
        <v>325.8</v>
      </c>
      <c r="S20" s="142"/>
      <c r="T20" s="370"/>
      <c r="U20" s="370"/>
      <c r="V20" s="370"/>
      <c r="W20" s="370"/>
      <c r="X20" s="321">
        <f t="shared" si="0"/>
        <v>325.8</v>
      </c>
      <c r="Y20" s="356" t="s">
        <v>58</v>
      </c>
      <c r="Z20" s="319"/>
      <c r="AA20" s="320"/>
      <c r="AB20" s="370">
        <v>65</v>
      </c>
      <c r="AC20" s="321"/>
      <c r="AD20" s="319"/>
      <c r="AE20" s="321"/>
      <c r="AF20" s="319"/>
      <c r="AG20" s="321"/>
      <c r="AH20" s="322">
        <f t="shared" si="3"/>
        <v>211.77</v>
      </c>
      <c r="AI20" s="328">
        <f t="shared" si="4"/>
        <v>211.77</v>
      </c>
      <c r="AJ20" s="320"/>
      <c r="AK20" s="320"/>
      <c r="AL20" s="320"/>
      <c r="AM20" s="320"/>
      <c r="AN20" s="320"/>
      <c r="AO20" s="320"/>
      <c r="AP20" s="320"/>
      <c r="AQ20" s="321"/>
      <c r="AS20" s="11"/>
    </row>
    <row r="21" spans="1:48" ht="15" customHeight="1">
      <c r="A21" s="319"/>
      <c r="B21" s="320"/>
      <c r="C21" s="320"/>
      <c r="D21" s="320"/>
      <c r="E21" s="320"/>
      <c r="F21" s="320"/>
      <c r="G21" s="320"/>
      <c r="H21" s="320"/>
      <c r="I21" s="142"/>
      <c r="J21" s="320"/>
      <c r="K21" s="320"/>
      <c r="L21" s="320"/>
      <c r="M21" s="320"/>
      <c r="N21" s="370"/>
      <c r="O21" s="370"/>
      <c r="P21" s="370"/>
      <c r="Q21" s="311">
        <f>88.7*0.9</f>
        <v>79.83</v>
      </c>
      <c r="R21" s="142"/>
      <c r="S21" s="142"/>
      <c r="T21" s="370"/>
      <c r="U21" s="370"/>
      <c r="V21" s="370"/>
      <c r="W21" s="370"/>
      <c r="X21" s="321">
        <f t="shared" si="0"/>
        <v>79.83</v>
      </c>
      <c r="Y21" s="356" t="s">
        <v>59</v>
      </c>
      <c r="Z21" s="319"/>
      <c r="AA21" s="320"/>
      <c r="AB21" s="370">
        <v>65</v>
      </c>
      <c r="AC21" s="321"/>
      <c r="AD21" s="319"/>
      <c r="AE21" s="321"/>
      <c r="AF21" s="319"/>
      <c r="AG21" s="321"/>
      <c r="AH21" s="322">
        <f t="shared" si="3"/>
        <v>51.889499999999998</v>
      </c>
      <c r="AI21" s="328">
        <f t="shared" si="4"/>
        <v>51.889499999999998</v>
      </c>
      <c r="AJ21" s="320"/>
      <c r="AK21" s="320"/>
      <c r="AL21" s="320"/>
      <c r="AM21" s="320"/>
      <c r="AN21" s="320"/>
      <c r="AO21" s="320"/>
      <c r="AP21" s="320"/>
      <c r="AQ21" s="321"/>
      <c r="AS21" s="11"/>
    </row>
    <row r="22" spans="1:48" ht="15" customHeight="1">
      <c r="A22" s="319"/>
      <c r="B22" s="320"/>
      <c r="C22" s="320"/>
      <c r="D22" s="320"/>
      <c r="E22" s="320"/>
      <c r="F22" s="320"/>
      <c r="G22" s="320"/>
      <c r="H22" s="320"/>
      <c r="I22" s="142"/>
      <c r="J22" s="320"/>
      <c r="K22" s="320"/>
      <c r="L22" s="361">
        <v>9.3000000000000007</v>
      </c>
      <c r="M22" s="320"/>
      <c r="N22" s="370"/>
      <c r="O22" s="370"/>
      <c r="P22" s="370"/>
      <c r="Q22" s="370"/>
      <c r="R22" s="370"/>
      <c r="S22" s="370"/>
      <c r="T22" s="370"/>
      <c r="U22" s="370"/>
      <c r="V22" s="370"/>
      <c r="W22" s="370"/>
      <c r="X22" s="321">
        <f t="shared" si="0"/>
        <v>9.3000000000000007</v>
      </c>
      <c r="Y22" s="356" t="s">
        <v>6</v>
      </c>
      <c r="Z22" s="319"/>
      <c r="AA22" s="320"/>
      <c r="AB22" s="320">
        <v>100</v>
      </c>
      <c r="AC22" s="321"/>
      <c r="AD22" s="319"/>
      <c r="AE22" s="321"/>
      <c r="AF22" s="319"/>
      <c r="AG22" s="321"/>
      <c r="AH22" s="322">
        <f t="shared" si="3"/>
        <v>9.3000000000000007</v>
      </c>
      <c r="AI22" s="328">
        <f t="shared" si="4"/>
        <v>9.3000000000000007</v>
      </c>
      <c r="AJ22" s="320"/>
      <c r="AK22" s="320"/>
      <c r="AL22" s="320"/>
      <c r="AM22" s="320"/>
      <c r="AN22" s="320"/>
      <c r="AO22" s="320"/>
      <c r="AP22" s="320"/>
      <c r="AQ22" s="321"/>
      <c r="AV22" s="11"/>
    </row>
    <row r="23" spans="1:48" ht="15" customHeight="1">
      <c r="A23" s="319"/>
      <c r="B23" s="320"/>
      <c r="C23" s="370"/>
      <c r="D23" s="370"/>
      <c r="E23" s="361">
        <v>20.399999999999999</v>
      </c>
      <c r="F23" s="370"/>
      <c r="G23" s="370"/>
      <c r="H23" s="370"/>
      <c r="I23" s="142"/>
      <c r="J23" s="370"/>
      <c r="K23" s="370"/>
      <c r="L23" s="370"/>
      <c r="M23" s="370"/>
      <c r="N23" s="370"/>
      <c r="O23" s="370"/>
      <c r="P23" s="370"/>
      <c r="Q23" s="370"/>
      <c r="R23" s="370"/>
      <c r="S23" s="370"/>
      <c r="T23" s="370"/>
      <c r="U23" s="370"/>
      <c r="V23" s="370"/>
      <c r="W23" s="370"/>
      <c r="X23" s="321">
        <f t="shared" si="0"/>
        <v>20.399999999999999</v>
      </c>
      <c r="Y23" s="356" t="s">
        <v>60</v>
      </c>
      <c r="Z23" s="319"/>
      <c r="AA23" s="320">
        <v>90</v>
      </c>
      <c r="AB23" s="320"/>
      <c r="AC23" s="321"/>
      <c r="AD23" s="319"/>
      <c r="AE23" s="321"/>
      <c r="AF23" s="319"/>
      <c r="AG23" s="321"/>
      <c r="AH23" s="322">
        <f t="shared" si="3"/>
        <v>18.36</v>
      </c>
      <c r="AI23" s="328"/>
      <c r="AJ23" s="320"/>
      <c r="AK23" s="320"/>
      <c r="AL23" s="320"/>
      <c r="AM23" s="320"/>
      <c r="AN23" s="320">
        <f>X23*AA23/100</f>
        <v>18.36</v>
      </c>
      <c r="AO23" s="320"/>
      <c r="AP23" s="320"/>
      <c r="AQ23" s="321"/>
      <c r="AV23" s="11"/>
    </row>
    <row r="24" spans="1:48" ht="15" customHeight="1">
      <c r="A24" s="319"/>
      <c r="B24" s="320"/>
      <c r="C24" s="370"/>
      <c r="D24" s="370"/>
      <c r="E24" s="370"/>
      <c r="F24" s="370"/>
      <c r="G24" s="370"/>
      <c r="H24" s="370"/>
      <c r="I24" s="361">
        <v>706.5</v>
      </c>
      <c r="J24" s="370"/>
      <c r="K24" s="370"/>
      <c r="L24" s="370"/>
      <c r="M24" s="370"/>
      <c r="N24" s="370"/>
      <c r="O24" s="370"/>
      <c r="P24" s="370"/>
      <c r="Q24" s="370"/>
      <c r="R24" s="370"/>
      <c r="S24" s="370"/>
      <c r="T24" s="370"/>
      <c r="U24" s="370"/>
      <c r="V24" s="370"/>
      <c r="W24" s="370"/>
      <c r="X24" s="321">
        <f t="shared" si="0"/>
        <v>706.5</v>
      </c>
      <c r="Y24" s="356" t="s">
        <v>61</v>
      </c>
      <c r="Z24" s="319"/>
      <c r="AA24" s="320">
        <v>90</v>
      </c>
      <c r="AB24" s="320"/>
      <c r="AC24" s="321"/>
      <c r="AD24" s="319"/>
      <c r="AE24" s="321"/>
      <c r="AF24" s="319"/>
      <c r="AG24" s="321"/>
      <c r="AH24" s="322">
        <f t="shared" si="3"/>
        <v>635.85</v>
      </c>
      <c r="AI24" s="328"/>
      <c r="AJ24" s="320"/>
      <c r="AK24" s="320"/>
      <c r="AL24" s="320"/>
      <c r="AM24" s="320"/>
      <c r="AN24" s="320">
        <f>X24*AA24/100</f>
        <v>635.85</v>
      </c>
      <c r="AO24" s="320"/>
      <c r="AP24" s="320"/>
      <c r="AQ24" s="321"/>
      <c r="AS24" s="11"/>
    </row>
    <row r="25" spans="1:48" ht="15" customHeight="1">
      <c r="A25" s="319"/>
      <c r="B25" s="320"/>
      <c r="C25" s="361"/>
      <c r="D25" s="361"/>
      <c r="E25" s="142"/>
      <c r="F25" s="142"/>
      <c r="G25" s="142"/>
      <c r="H25" s="142"/>
      <c r="I25" s="142"/>
      <c r="J25" s="142"/>
      <c r="K25" s="142"/>
      <c r="L25" s="142"/>
      <c r="M25" s="142"/>
      <c r="N25" s="142"/>
      <c r="O25" s="366"/>
      <c r="P25" s="142"/>
      <c r="Q25" s="142"/>
      <c r="R25" s="142"/>
      <c r="S25" s="361">
        <v>1</v>
      </c>
      <c r="T25" s="366"/>
      <c r="U25" s="142"/>
      <c r="V25" s="142"/>
      <c r="W25" s="361"/>
      <c r="X25" s="321">
        <f t="shared" si="0"/>
        <v>1</v>
      </c>
      <c r="Y25" s="356" t="s">
        <v>217</v>
      </c>
      <c r="Z25" s="319"/>
      <c r="AA25" s="320">
        <v>90</v>
      </c>
      <c r="AB25" s="320"/>
      <c r="AC25" s="321"/>
      <c r="AD25" s="319"/>
      <c r="AE25" s="321"/>
      <c r="AF25" s="319"/>
      <c r="AG25" s="321"/>
      <c r="AH25" s="322">
        <f t="shared" si="3"/>
        <v>0.9</v>
      </c>
      <c r="AI25" s="371"/>
      <c r="AJ25" s="370"/>
      <c r="AK25" s="370"/>
      <c r="AL25" s="370"/>
      <c r="AM25" s="370"/>
      <c r="AN25" s="370">
        <f>X25*AA25/100</f>
        <v>0.9</v>
      </c>
      <c r="AO25" s="370"/>
      <c r="AP25" s="370"/>
      <c r="AQ25" s="321"/>
      <c r="AR25" s="15"/>
      <c r="AS25" s="11"/>
    </row>
    <row r="26" spans="1:48" ht="15" customHeight="1">
      <c r="A26" s="319"/>
      <c r="B26" s="320"/>
      <c r="C26" s="320"/>
      <c r="D26" s="320"/>
      <c r="E26" s="320"/>
      <c r="F26" s="320"/>
      <c r="G26" s="320"/>
      <c r="H26" s="370"/>
      <c r="I26" s="370"/>
      <c r="J26" s="370"/>
      <c r="K26" s="370"/>
      <c r="L26" s="317">
        <f>42+153</f>
        <v>195</v>
      </c>
      <c r="M26" s="370"/>
      <c r="N26" s="370"/>
      <c r="O26" s="370"/>
      <c r="P26" s="370"/>
      <c r="Q26" s="370"/>
      <c r="R26" s="370"/>
      <c r="S26" s="370"/>
      <c r="T26" s="370"/>
      <c r="U26" s="370"/>
      <c r="V26" s="370"/>
      <c r="W26" s="370"/>
      <c r="X26" s="321">
        <f t="shared" si="0"/>
        <v>195</v>
      </c>
      <c r="Y26" s="356" t="s">
        <v>45</v>
      </c>
      <c r="Z26" s="320">
        <v>100</v>
      </c>
      <c r="AA26" s="320"/>
      <c r="AB26" s="320"/>
      <c r="AC26" s="321"/>
      <c r="AD26" s="319">
        <f>X26*Z26/100</f>
        <v>195</v>
      </c>
      <c r="AE26" s="321"/>
      <c r="AF26" s="319"/>
      <c r="AG26" s="321"/>
      <c r="AH26" s="322">
        <f t="shared" si="3"/>
        <v>0</v>
      </c>
      <c r="AI26" s="371"/>
      <c r="AJ26" s="370"/>
      <c r="AK26" s="370"/>
      <c r="AL26" s="370"/>
      <c r="AM26" s="370"/>
      <c r="AN26" s="370"/>
      <c r="AO26" s="370"/>
      <c r="AP26" s="370"/>
      <c r="AQ26" s="321"/>
      <c r="AV26" s="11"/>
    </row>
    <row r="27" spans="1:48" ht="15" customHeight="1">
      <c r="A27" s="319"/>
      <c r="B27" s="320"/>
      <c r="C27" s="320"/>
      <c r="D27" s="320"/>
      <c r="E27" s="320"/>
      <c r="F27" s="320"/>
      <c r="G27" s="320"/>
      <c r="H27" s="370"/>
      <c r="I27" s="370"/>
      <c r="J27" s="317">
        <f>1209.6+1311-325</f>
        <v>2195.6</v>
      </c>
      <c r="K27" s="370"/>
      <c r="L27" s="370"/>
      <c r="M27" s="370"/>
      <c r="N27" s="370"/>
      <c r="O27" s="370"/>
      <c r="P27" s="370"/>
      <c r="Q27" s="370"/>
      <c r="R27" s="370"/>
      <c r="S27" s="370"/>
      <c r="T27" s="370"/>
      <c r="U27" s="370"/>
      <c r="V27" s="370"/>
      <c r="W27" s="370"/>
      <c r="X27" s="321">
        <f t="shared" si="0"/>
        <v>2195.6</v>
      </c>
      <c r="Y27" s="356" t="s">
        <v>62</v>
      </c>
      <c r="Z27" s="320">
        <v>100</v>
      </c>
      <c r="AA27" s="320"/>
      <c r="AB27" s="320"/>
      <c r="AC27" s="321"/>
      <c r="AD27" s="319">
        <f>Z27*X27/100</f>
        <v>2195.6</v>
      </c>
      <c r="AE27" s="321"/>
      <c r="AF27" s="319"/>
      <c r="AG27" s="321"/>
      <c r="AH27" s="322">
        <f t="shared" si="3"/>
        <v>0</v>
      </c>
      <c r="AI27" s="371"/>
      <c r="AJ27" s="370"/>
      <c r="AK27" s="370"/>
      <c r="AL27" s="370"/>
      <c r="AM27" s="370"/>
      <c r="AN27" s="370"/>
      <c r="AO27" s="370"/>
      <c r="AP27" s="370"/>
      <c r="AQ27" s="321"/>
      <c r="AV27" s="11"/>
    </row>
    <row r="28" spans="1:48" ht="15" customHeight="1">
      <c r="A28" s="319"/>
      <c r="B28" s="320"/>
      <c r="C28" s="320"/>
      <c r="D28" s="320"/>
      <c r="E28" s="320"/>
      <c r="F28" s="320"/>
      <c r="G28" s="320"/>
      <c r="H28" s="370"/>
      <c r="I28" s="370"/>
      <c r="J28" s="361"/>
      <c r="K28" s="370"/>
      <c r="L28" s="370"/>
      <c r="M28" s="370"/>
      <c r="N28" s="370"/>
      <c r="O28" s="370"/>
      <c r="P28" s="370"/>
      <c r="Q28" s="370"/>
      <c r="R28" s="370"/>
      <c r="S28" s="370"/>
      <c r="T28" s="370"/>
      <c r="U28" s="370"/>
      <c r="V28" s="370"/>
      <c r="W28" s="370"/>
      <c r="X28" s="321">
        <f t="shared" si="0"/>
        <v>0</v>
      </c>
      <c r="Y28" s="356" t="s">
        <v>124</v>
      </c>
      <c r="Z28" s="368">
        <v>100</v>
      </c>
      <c r="AA28" s="370"/>
      <c r="AB28" s="370"/>
      <c r="AC28" s="367"/>
      <c r="AD28" s="368">
        <f>Z28*X28/100</f>
        <v>0</v>
      </c>
      <c r="AE28" s="367"/>
      <c r="AF28" s="319"/>
      <c r="AG28" s="321"/>
      <c r="AH28" s="322">
        <f t="shared" si="3"/>
        <v>0</v>
      </c>
      <c r="AI28" s="371"/>
      <c r="AJ28" s="370"/>
      <c r="AK28" s="370"/>
      <c r="AL28" s="370"/>
      <c r="AM28" s="370"/>
      <c r="AN28" s="370"/>
      <c r="AO28" s="370"/>
      <c r="AP28" s="370"/>
      <c r="AQ28" s="321"/>
    </row>
    <row r="29" spans="1:48" ht="15" customHeight="1">
      <c r="A29" s="319"/>
      <c r="B29" s="320"/>
      <c r="C29" s="320"/>
      <c r="D29" s="320"/>
      <c r="E29" s="320"/>
      <c r="F29" s="320"/>
      <c r="G29" s="320"/>
      <c r="H29" s="370"/>
      <c r="I29" s="370"/>
      <c r="J29" s="370"/>
      <c r="K29" s="361"/>
      <c r="L29" s="370"/>
      <c r="M29" s="370"/>
      <c r="N29" s="370"/>
      <c r="O29" s="370"/>
      <c r="P29" s="370"/>
      <c r="Q29" s="370"/>
      <c r="R29" s="370"/>
      <c r="S29" s="370"/>
      <c r="T29" s="370"/>
      <c r="U29" s="370"/>
      <c r="V29" s="370"/>
      <c r="W29" s="370"/>
      <c r="X29" s="321">
        <f t="shared" si="0"/>
        <v>0</v>
      </c>
      <c r="Y29" s="356" t="s">
        <v>7</v>
      </c>
      <c r="Z29" s="361">
        <v>100</v>
      </c>
      <c r="AA29" s="370"/>
      <c r="AB29" s="370"/>
      <c r="AC29" s="367"/>
      <c r="AD29" s="368">
        <f>Z29*X29/100</f>
        <v>0</v>
      </c>
      <c r="AE29" s="367"/>
      <c r="AF29" s="319"/>
      <c r="AG29" s="321"/>
      <c r="AH29" s="322">
        <f t="shared" si="3"/>
        <v>0</v>
      </c>
      <c r="AI29" s="371"/>
      <c r="AJ29" s="370"/>
      <c r="AK29" s="370"/>
      <c r="AL29" s="370"/>
      <c r="AM29" s="370"/>
      <c r="AN29" s="370"/>
      <c r="AO29" s="370"/>
      <c r="AP29" s="370"/>
      <c r="AQ29" s="321"/>
    </row>
    <row r="30" spans="1:48" ht="15" customHeight="1">
      <c r="A30" s="319"/>
      <c r="B30" s="320"/>
      <c r="C30" s="320"/>
      <c r="D30" s="320"/>
      <c r="E30" s="320"/>
      <c r="F30" s="320"/>
      <c r="G30" s="320"/>
      <c r="H30" s="370"/>
      <c r="I30" s="370"/>
      <c r="J30" s="370"/>
      <c r="K30" s="370"/>
      <c r="L30" s="370"/>
      <c r="M30" s="370"/>
      <c r="N30" s="370"/>
      <c r="O30" s="370"/>
      <c r="P30" s="370"/>
      <c r="Q30" s="370"/>
      <c r="R30" s="370"/>
      <c r="S30" s="370"/>
      <c r="T30" s="370"/>
      <c r="U30" s="370"/>
      <c r="V30" s="370"/>
      <c r="W30" s="370"/>
      <c r="X30" s="321">
        <f t="shared" si="0"/>
        <v>0</v>
      </c>
      <c r="Y30" s="356" t="s">
        <v>8</v>
      </c>
      <c r="Z30" s="370">
        <v>100</v>
      </c>
      <c r="AA30" s="370"/>
      <c r="AB30" s="370"/>
      <c r="AC30" s="367"/>
      <c r="AD30" s="368">
        <f>Z30*X30/100</f>
        <v>0</v>
      </c>
      <c r="AE30" s="367"/>
      <c r="AF30" s="319"/>
      <c r="AG30" s="321"/>
      <c r="AH30" s="322">
        <f t="shared" si="3"/>
        <v>0</v>
      </c>
      <c r="AI30" s="371"/>
      <c r="AJ30" s="370"/>
      <c r="AK30" s="370"/>
      <c r="AL30" s="370"/>
      <c r="AM30" s="370"/>
      <c r="AN30" s="370"/>
      <c r="AO30" s="370"/>
      <c r="AP30" s="370"/>
      <c r="AQ30" s="321"/>
    </row>
    <row r="31" spans="1:48" s="1" customFormat="1" ht="15" customHeight="1">
      <c r="A31" s="154"/>
      <c r="B31" s="320"/>
      <c r="C31" s="320"/>
      <c r="D31" s="320"/>
      <c r="E31" s="320"/>
      <c r="F31" s="320"/>
      <c r="G31" s="320"/>
      <c r="H31" s="370"/>
      <c r="I31" s="361">
        <f>-(O31+T31)*AA31%</f>
        <v>0</v>
      </c>
      <c r="J31" s="370"/>
      <c r="K31" s="370"/>
      <c r="L31" s="370"/>
      <c r="M31" s="370"/>
      <c r="N31" s="370"/>
      <c r="O31" s="370"/>
      <c r="P31" s="370"/>
      <c r="Q31" s="370"/>
      <c r="R31" s="370"/>
      <c r="S31" s="370"/>
      <c r="T31" s="370"/>
      <c r="U31" s="142"/>
      <c r="V31" s="142"/>
      <c r="W31" s="142"/>
      <c r="X31" s="321">
        <f t="shared" si="0"/>
        <v>0</v>
      </c>
      <c r="Y31" s="96" t="s">
        <v>216</v>
      </c>
      <c r="Z31" s="155"/>
      <c r="AA31" s="142">
        <v>100</v>
      </c>
      <c r="AB31" s="142"/>
      <c r="AC31" s="143"/>
      <c r="AD31" s="156"/>
      <c r="AE31" s="143"/>
      <c r="AF31" s="157"/>
      <c r="AG31" s="158"/>
      <c r="AH31" s="159"/>
      <c r="AI31" s="155"/>
      <c r="AJ31" s="142"/>
      <c r="AK31" s="142"/>
      <c r="AL31" s="142"/>
      <c r="AM31" s="142"/>
      <c r="AN31" s="142"/>
      <c r="AO31" s="142"/>
      <c r="AP31" s="142"/>
      <c r="AQ31" s="158"/>
    </row>
    <row r="32" spans="1:48" ht="15" customHeight="1">
      <c r="A32" s="320"/>
      <c r="B32" s="320"/>
      <c r="C32" s="160"/>
      <c r="D32" s="160"/>
      <c r="E32" s="160"/>
      <c r="F32" s="160"/>
      <c r="G32" s="160"/>
      <c r="H32" s="161"/>
      <c r="I32" s="379"/>
      <c r="J32" s="161"/>
      <c r="K32" s="161"/>
      <c r="L32" s="161"/>
      <c r="M32" s="161"/>
      <c r="N32" s="142"/>
      <c r="O32" s="379"/>
      <c r="P32" s="161"/>
      <c r="Q32" s="161"/>
      <c r="R32" s="161"/>
      <c r="S32" s="161"/>
      <c r="T32" s="379"/>
      <c r="U32" s="161"/>
      <c r="V32" s="161"/>
      <c r="W32" s="161"/>
      <c r="X32" s="321">
        <f t="shared" si="0"/>
        <v>0</v>
      </c>
      <c r="Y32" s="96" t="s">
        <v>215</v>
      </c>
      <c r="Z32" s="363"/>
      <c r="AA32" s="142"/>
      <c r="AB32" s="142"/>
      <c r="AC32" s="143"/>
      <c r="AD32" s="368">
        <f>X32*Z32/100</f>
        <v>0</v>
      </c>
      <c r="AE32" s="367"/>
      <c r="AF32" s="368">
        <f>X32*AB32/100</f>
        <v>0</v>
      </c>
      <c r="AG32" s="367"/>
      <c r="AH32" s="322">
        <f>SUM(AI32:AQ32)</f>
        <v>0</v>
      </c>
      <c r="AI32" s="371"/>
      <c r="AJ32" s="142"/>
      <c r="AK32" s="142"/>
      <c r="AL32" s="142"/>
      <c r="AM32" s="142"/>
      <c r="AN32" s="142"/>
      <c r="AO32" s="142"/>
      <c r="AP32" s="142"/>
      <c r="AQ32" s="321"/>
    </row>
    <row r="33" spans="1:44" ht="15" customHeight="1">
      <c r="A33" s="320"/>
      <c r="B33" s="320"/>
      <c r="C33" s="311">
        <f>9.3*0.9</f>
        <v>8.370000000000001</v>
      </c>
      <c r="D33" s="379"/>
      <c r="E33" s="161"/>
      <c r="F33" s="161"/>
      <c r="G33" s="161"/>
      <c r="H33" s="161"/>
      <c r="I33" s="379"/>
      <c r="J33" s="161"/>
      <c r="K33" s="161"/>
      <c r="L33" s="161"/>
      <c r="M33" s="161"/>
      <c r="N33" s="161"/>
      <c r="O33" s="312">
        <f>(7.6*46%)*0.9</f>
        <v>3.1463999999999999</v>
      </c>
      <c r="P33" s="370"/>
      <c r="Q33" s="379"/>
      <c r="R33" s="312">
        <f>1915.4*0.9</f>
        <v>1723.8600000000001</v>
      </c>
      <c r="S33" s="312">
        <f>576.7*0.9</f>
        <v>519.03000000000009</v>
      </c>
      <c r="T33" s="312">
        <f>(7.6*54%)*0.9</f>
        <v>3.6936</v>
      </c>
      <c r="U33" s="161"/>
      <c r="V33" s="161"/>
      <c r="W33" s="161"/>
      <c r="X33" s="321">
        <f t="shared" si="0"/>
        <v>2258.1000000000004</v>
      </c>
      <c r="Y33" s="356" t="s">
        <v>39</v>
      </c>
      <c r="Z33" s="363">
        <v>19.600000000000001</v>
      </c>
      <c r="AA33" s="142"/>
      <c r="AB33" s="361">
        <v>79.7</v>
      </c>
      <c r="AC33" s="367"/>
      <c r="AD33" s="368">
        <f>X33*Z33/100</f>
        <v>442.58760000000007</v>
      </c>
      <c r="AE33" s="367"/>
      <c r="AF33" s="319">
        <f>X33*AB33/100</f>
        <v>1799.7057000000004</v>
      </c>
      <c r="AG33" s="321"/>
      <c r="AH33" s="322">
        <f t="shared" si="3"/>
        <v>0</v>
      </c>
      <c r="AI33" s="371"/>
      <c r="AJ33" s="370"/>
      <c r="AK33" s="370"/>
      <c r="AL33" s="370"/>
      <c r="AM33" s="370"/>
      <c r="AN33" s="370"/>
      <c r="AO33" s="370"/>
      <c r="AP33" s="370"/>
      <c r="AQ33" s="321"/>
    </row>
    <row r="34" spans="1:44" ht="15" customHeight="1">
      <c r="A34" s="320"/>
      <c r="B34" s="320"/>
      <c r="C34" s="161"/>
      <c r="D34" s="161"/>
      <c r="E34" s="161"/>
      <c r="F34" s="161"/>
      <c r="G34" s="161"/>
      <c r="H34" s="161"/>
      <c r="I34" s="161"/>
      <c r="J34" s="161"/>
      <c r="K34" s="161"/>
      <c r="L34" s="161"/>
      <c r="M34" s="161"/>
      <c r="N34" s="161"/>
      <c r="O34" s="161"/>
      <c r="P34" s="161"/>
      <c r="Q34" s="161"/>
      <c r="R34" s="161"/>
      <c r="S34" s="161"/>
      <c r="T34" s="161"/>
      <c r="U34" s="161"/>
      <c r="V34" s="161"/>
      <c r="W34" s="161"/>
      <c r="X34" s="321">
        <f t="shared" si="0"/>
        <v>0</v>
      </c>
      <c r="Y34" s="356" t="s">
        <v>40</v>
      </c>
      <c r="Z34" s="156"/>
      <c r="AA34" s="142"/>
      <c r="AB34" s="142"/>
      <c r="AC34" s="367"/>
      <c r="AD34" s="368">
        <f>X34*Z34/100</f>
        <v>0</v>
      </c>
      <c r="AE34" s="367"/>
      <c r="AF34" s="319">
        <f>X34*AB34</f>
        <v>0</v>
      </c>
      <c r="AG34" s="321"/>
      <c r="AH34" s="322">
        <f t="shared" si="3"/>
        <v>0</v>
      </c>
      <c r="AI34" s="371"/>
      <c r="AJ34" s="370"/>
      <c r="AK34" s="370"/>
      <c r="AL34" s="370"/>
      <c r="AM34" s="370"/>
      <c r="AN34" s="370"/>
      <c r="AO34" s="370"/>
      <c r="AP34" s="370"/>
      <c r="AQ34" s="321"/>
    </row>
    <row r="35" spans="1:44" ht="15" customHeight="1">
      <c r="A35" s="320"/>
      <c r="B35" s="320"/>
      <c r="C35" s="161"/>
      <c r="D35" s="161"/>
      <c r="E35" s="162"/>
      <c r="F35" s="161"/>
      <c r="G35" s="161"/>
      <c r="H35" s="161"/>
      <c r="I35" s="161"/>
      <c r="J35" s="161"/>
      <c r="K35" s="161"/>
      <c r="L35" s="161"/>
      <c r="M35" s="161"/>
      <c r="N35" s="161"/>
      <c r="O35" s="161"/>
      <c r="P35" s="161"/>
      <c r="Q35" s="161"/>
      <c r="R35" s="161"/>
      <c r="S35" s="161"/>
      <c r="T35" s="161"/>
      <c r="U35" s="161"/>
      <c r="V35" s="161"/>
      <c r="W35" s="161"/>
      <c r="X35" s="321">
        <f t="shared" si="0"/>
        <v>0</v>
      </c>
      <c r="Y35" s="356" t="s">
        <v>41</v>
      </c>
      <c r="Z35" s="156"/>
      <c r="AA35" s="142"/>
      <c r="AB35" s="142"/>
      <c r="AC35" s="367"/>
      <c r="AD35" s="368">
        <f>X35*Z35/100</f>
        <v>0</v>
      </c>
      <c r="AE35" s="367"/>
      <c r="AF35" s="319">
        <f>X35*AB35</f>
        <v>0</v>
      </c>
      <c r="AG35" s="321"/>
      <c r="AH35" s="322">
        <f t="shared" si="3"/>
        <v>0</v>
      </c>
      <c r="AI35" s="371"/>
      <c r="AJ35" s="370"/>
      <c r="AK35" s="370"/>
      <c r="AL35" s="370"/>
      <c r="AM35" s="370"/>
      <c r="AN35" s="370"/>
      <c r="AO35" s="370"/>
      <c r="AP35" s="370"/>
      <c r="AQ35" s="321"/>
    </row>
    <row r="36" spans="1:44" ht="15" customHeight="1">
      <c r="A36" s="320"/>
      <c r="B36" s="320"/>
      <c r="C36" s="161"/>
      <c r="D36" s="161"/>
      <c r="E36" s="312">
        <f>11.1*0.9</f>
        <v>9.99</v>
      </c>
      <c r="F36" s="161"/>
      <c r="G36" s="161"/>
      <c r="H36" s="161"/>
      <c r="I36" s="161"/>
      <c r="J36" s="161"/>
      <c r="K36" s="161"/>
      <c r="L36" s="161"/>
      <c r="M36" s="161"/>
      <c r="N36" s="161"/>
      <c r="O36" s="161"/>
      <c r="P36" s="312">
        <f>22.2*0.9</f>
        <v>19.98</v>
      </c>
      <c r="Q36" s="161"/>
      <c r="R36" s="161"/>
      <c r="S36" s="161"/>
      <c r="T36" s="161"/>
      <c r="U36" s="161"/>
      <c r="V36" s="161"/>
      <c r="W36" s="161"/>
      <c r="X36" s="321">
        <f t="shared" si="0"/>
        <v>29.97</v>
      </c>
      <c r="Y36" s="356" t="s">
        <v>42</v>
      </c>
      <c r="Z36" s="156"/>
      <c r="AA36" s="142"/>
      <c r="AB36" s="361">
        <v>89.2</v>
      </c>
      <c r="AC36" s="367"/>
      <c r="AD36" s="368"/>
      <c r="AE36" s="367"/>
      <c r="AF36" s="319">
        <f>X36*AB36/100</f>
        <v>26.733240000000002</v>
      </c>
      <c r="AG36" s="321"/>
      <c r="AH36" s="322">
        <f t="shared" si="3"/>
        <v>0</v>
      </c>
      <c r="AI36" s="371"/>
      <c r="AJ36" s="370"/>
      <c r="AK36" s="370"/>
      <c r="AL36" s="370"/>
      <c r="AM36" s="370"/>
      <c r="AN36" s="370"/>
      <c r="AO36" s="370"/>
      <c r="AP36" s="370"/>
      <c r="AQ36" s="321"/>
    </row>
    <row r="37" spans="1:44" s="1" customFormat="1" ht="15" customHeight="1">
      <c r="A37" s="163"/>
      <c r="B37" s="163"/>
      <c r="C37" s="163"/>
      <c r="D37" s="142"/>
      <c r="E37" s="142"/>
      <c r="F37" s="142"/>
      <c r="G37" s="142"/>
      <c r="H37" s="142"/>
      <c r="I37" s="142"/>
      <c r="J37" s="142"/>
      <c r="K37" s="142"/>
      <c r="L37" s="142"/>
      <c r="M37" s="142"/>
      <c r="N37" s="361">
        <f>AF37-AE37</f>
        <v>0</v>
      </c>
      <c r="O37" s="142"/>
      <c r="P37" s="142"/>
      <c r="Q37" s="142"/>
      <c r="R37" s="142"/>
      <c r="S37" s="142"/>
      <c r="T37" s="142"/>
      <c r="U37" s="142"/>
      <c r="V37" s="142"/>
      <c r="W37" s="142"/>
      <c r="X37" s="321">
        <f t="shared" si="0"/>
        <v>0</v>
      </c>
      <c r="Y37" s="96" t="s">
        <v>213</v>
      </c>
      <c r="Z37" s="368"/>
      <c r="AA37" s="370"/>
      <c r="AB37" s="370"/>
      <c r="AC37" s="367"/>
      <c r="AD37" s="156">
        <f>-AE37/$D$2%</f>
        <v>0</v>
      </c>
      <c r="AE37" s="375"/>
      <c r="AF37" s="376">
        <f>AE37*AB37%</f>
        <v>0</v>
      </c>
      <c r="AG37" s="158"/>
      <c r="AH37" s="159"/>
      <c r="AI37" s="155"/>
      <c r="AJ37" s="155"/>
      <c r="AK37" s="142"/>
      <c r="AL37" s="142"/>
      <c r="AM37" s="142"/>
      <c r="AN37" s="142"/>
      <c r="AO37" s="142"/>
      <c r="AP37" s="142"/>
      <c r="AQ37" s="158"/>
    </row>
    <row r="38" spans="1:44" ht="15" customHeight="1">
      <c r="A38" s="163"/>
      <c r="B38" s="163"/>
      <c r="C38" s="163"/>
      <c r="D38" s="142"/>
      <c r="E38" s="142"/>
      <c r="F38" s="142"/>
      <c r="G38" s="142"/>
      <c r="H38" s="142"/>
      <c r="I38" s="142"/>
      <c r="J38" s="142"/>
      <c r="K38" s="142"/>
      <c r="L38" s="142"/>
      <c r="M38" s="142"/>
      <c r="N38" s="142"/>
      <c r="O38" s="142"/>
      <c r="P38" s="142"/>
      <c r="Q38" s="142"/>
      <c r="R38" s="142"/>
      <c r="S38" s="142"/>
      <c r="T38" s="142"/>
      <c r="U38" s="142"/>
      <c r="V38" s="142"/>
      <c r="W38" s="142"/>
      <c r="X38" s="321">
        <f t="shared" si="0"/>
        <v>0</v>
      </c>
      <c r="Y38" s="96" t="s">
        <v>214</v>
      </c>
      <c r="Z38" s="368"/>
      <c r="AA38" s="370"/>
      <c r="AB38" s="370"/>
      <c r="AC38" s="367"/>
      <c r="AD38" s="156">
        <f>-AE38/$D$2%</f>
        <v>0</v>
      </c>
      <c r="AE38" s="367"/>
      <c r="AF38" s="368">
        <f>AE38*AB38%</f>
        <v>0</v>
      </c>
      <c r="AG38" s="158"/>
      <c r="AH38" s="159"/>
      <c r="AI38" s="155"/>
      <c r="AJ38" s="155"/>
      <c r="AK38" s="142"/>
      <c r="AL38" s="142"/>
      <c r="AM38" s="142"/>
      <c r="AN38" s="142"/>
      <c r="AO38" s="142"/>
      <c r="AP38" s="142"/>
      <c r="AQ38" s="158"/>
    </row>
    <row r="39" spans="1:44" ht="15" customHeight="1">
      <c r="A39" s="320"/>
      <c r="B39" s="320"/>
      <c r="C39" s="161"/>
      <c r="D39" s="161"/>
      <c r="E39" s="161"/>
      <c r="F39" s="161"/>
      <c r="G39" s="161"/>
      <c r="H39" s="161"/>
      <c r="I39" s="161"/>
      <c r="J39" s="161"/>
      <c r="K39" s="161"/>
      <c r="L39" s="161"/>
      <c r="M39" s="161"/>
      <c r="N39" s="161"/>
      <c r="O39" s="161"/>
      <c r="P39" s="161"/>
      <c r="Q39" s="161"/>
      <c r="R39" s="161"/>
      <c r="S39" s="161"/>
      <c r="T39" s="161"/>
      <c r="U39" s="161"/>
      <c r="V39" s="161"/>
      <c r="W39" s="161"/>
      <c r="X39" s="321">
        <f t="shared" si="0"/>
        <v>0</v>
      </c>
      <c r="Y39" s="356" t="s">
        <v>63</v>
      </c>
      <c r="Z39" s="156"/>
      <c r="AA39" s="142"/>
      <c r="AB39" s="142"/>
      <c r="AC39" s="364">
        <f>100-22.83</f>
        <v>77.17</v>
      </c>
      <c r="AD39" s="368"/>
      <c r="AE39" s="367"/>
      <c r="AF39" s="319">
        <f>-SUM(AF33:AF38)</f>
        <v>-1826.4389400000005</v>
      </c>
      <c r="AG39" s="321">
        <f>-AF39*AC39/100</f>
        <v>1409.4629299980004</v>
      </c>
      <c r="AH39" s="322">
        <f>SUM(AI39:AQ39)</f>
        <v>1410.8723929279986</v>
      </c>
      <c r="AI39" s="365">
        <f>AG39*65.2%</f>
        <v>918.9698303586963</v>
      </c>
      <c r="AJ39" s="365">
        <f>AG39*9.9%</f>
        <v>139.53683006980205</v>
      </c>
      <c r="AK39" s="361">
        <f>AG39*13.3%</f>
        <v>187.45856968973405</v>
      </c>
      <c r="AL39" s="361">
        <f>AG39*7%</f>
        <v>98.662405099860038</v>
      </c>
      <c r="AM39" s="361">
        <f>AG39*0%</f>
        <v>0</v>
      </c>
      <c r="AN39" s="361">
        <f>AG39*3.2%</f>
        <v>45.102813759936012</v>
      </c>
      <c r="AO39" s="361">
        <f>AG39*1.5%</f>
        <v>21.141943949970006</v>
      </c>
      <c r="AP39" s="361"/>
      <c r="AQ39" s="321"/>
      <c r="AR39" s="19"/>
    </row>
    <row r="40" spans="1:44" ht="15" customHeight="1">
      <c r="A40" s="320"/>
      <c r="B40" s="320"/>
      <c r="C40" s="161"/>
      <c r="D40" s="161"/>
      <c r="E40" s="379"/>
      <c r="F40" s="161"/>
      <c r="G40" s="161"/>
      <c r="H40" s="161"/>
      <c r="I40" s="161"/>
      <c r="J40" s="161"/>
      <c r="K40" s="161"/>
      <c r="L40" s="161"/>
      <c r="M40" s="161"/>
      <c r="N40" s="161"/>
      <c r="O40" s="379"/>
      <c r="P40" s="161"/>
      <c r="Q40" s="379"/>
      <c r="R40" s="166"/>
      <c r="S40" s="379"/>
      <c r="T40" s="379"/>
      <c r="U40" s="379"/>
      <c r="V40" s="161"/>
      <c r="W40" s="379"/>
      <c r="X40" s="321">
        <f t="shared" si="0"/>
        <v>0</v>
      </c>
      <c r="Y40" s="356" t="s">
        <v>13</v>
      </c>
      <c r="Z40" s="363"/>
      <c r="AA40" s="142"/>
      <c r="AB40" s="361"/>
      <c r="AC40" s="143"/>
      <c r="AD40" s="368">
        <f>X40*Z40/100</f>
        <v>0</v>
      </c>
      <c r="AE40" s="367"/>
      <c r="AF40" s="319">
        <f>X40*AB40/100</f>
        <v>0</v>
      </c>
      <c r="AG40" s="321"/>
      <c r="AH40" s="322">
        <f t="shared" si="3"/>
        <v>0</v>
      </c>
      <c r="AI40" s="155"/>
      <c r="AJ40" s="142"/>
      <c r="AK40" s="142"/>
      <c r="AL40" s="142"/>
      <c r="AM40" s="142"/>
      <c r="AN40" s="142"/>
      <c r="AO40" s="142"/>
      <c r="AP40" s="370"/>
      <c r="AQ40" s="321"/>
    </row>
    <row r="41" spans="1:44" ht="15" customHeight="1">
      <c r="A41" s="320"/>
      <c r="B41" s="320"/>
      <c r="C41" s="161"/>
      <c r="D41" s="161"/>
      <c r="E41" s="379"/>
      <c r="F41" s="161"/>
      <c r="G41" s="161"/>
      <c r="H41" s="161"/>
      <c r="I41" s="161"/>
      <c r="J41" s="161"/>
      <c r="K41" s="161"/>
      <c r="L41" s="161"/>
      <c r="M41" s="161"/>
      <c r="N41" s="161"/>
      <c r="O41" s="161"/>
      <c r="P41" s="161"/>
      <c r="Q41" s="161"/>
      <c r="R41" s="161"/>
      <c r="S41" s="379"/>
      <c r="T41" s="161"/>
      <c r="U41" s="379"/>
      <c r="V41" s="161"/>
      <c r="W41" s="379"/>
      <c r="X41" s="321">
        <f t="shared" si="0"/>
        <v>0</v>
      </c>
      <c r="Y41" s="356" t="s">
        <v>14</v>
      </c>
      <c r="Z41" s="156"/>
      <c r="AA41" s="142"/>
      <c r="AB41" s="361"/>
      <c r="AC41" s="143"/>
      <c r="AD41" s="368">
        <f>X41*Z41/100</f>
        <v>0</v>
      </c>
      <c r="AE41" s="367"/>
      <c r="AF41" s="319">
        <f>X41*AB41/100</f>
        <v>0</v>
      </c>
      <c r="AG41" s="321"/>
      <c r="AH41" s="322">
        <f t="shared" si="3"/>
        <v>0</v>
      </c>
      <c r="AI41" s="155"/>
      <c r="AJ41" s="142"/>
      <c r="AK41" s="142"/>
      <c r="AL41" s="142"/>
      <c r="AM41" s="142"/>
      <c r="AN41" s="142"/>
      <c r="AO41" s="142"/>
      <c r="AP41" s="370"/>
      <c r="AQ41" s="321"/>
    </row>
    <row r="42" spans="1:44" ht="15" customHeight="1">
      <c r="A42" s="320"/>
      <c r="B42" s="370"/>
      <c r="C42" s="161"/>
      <c r="D42" s="161"/>
      <c r="E42" s="161"/>
      <c r="F42" s="161"/>
      <c r="G42" s="161"/>
      <c r="H42" s="161"/>
      <c r="I42" s="161"/>
      <c r="J42" s="161"/>
      <c r="K42" s="161"/>
      <c r="L42" s="161"/>
      <c r="M42" s="161"/>
      <c r="N42" s="161"/>
      <c r="O42" s="161"/>
      <c r="P42" s="161"/>
      <c r="Q42" s="161"/>
      <c r="R42" s="161"/>
      <c r="S42" s="161"/>
      <c r="T42" s="161"/>
      <c r="U42" s="379"/>
      <c r="V42" s="161"/>
      <c r="W42" s="379"/>
      <c r="X42" s="321">
        <f t="shared" si="0"/>
        <v>0</v>
      </c>
      <c r="Y42" s="356" t="s">
        <v>15</v>
      </c>
      <c r="Z42" s="156"/>
      <c r="AA42" s="142"/>
      <c r="AB42" s="142"/>
      <c r="AC42" s="143"/>
      <c r="AD42" s="368">
        <f>X42*Z42/100</f>
        <v>0</v>
      </c>
      <c r="AE42" s="367"/>
      <c r="AF42" s="319">
        <f>X42*AB42/100</f>
        <v>0</v>
      </c>
      <c r="AG42" s="321"/>
      <c r="AH42" s="322">
        <f t="shared" si="3"/>
        <v>0</v>
      </c>
      <c r="AI42" s="155"/>
      <c r="AJ42" s="142"/>
      <c r="AK42" s="142"/>
      <c r="AL42" s="142"/>
      <c r="AM42" s="142"/>
      <c r="AN42" s="142"/>
      <c r="AO42" s="142"/>
      <c r="AP42" s="370"/>
      <c r="AQ42" s="321"/>
    </row>
    <row r="43" spans="1:44" ht="15" customHeight="1">
      <c r="A43" s="320"/>
      <c r="B43" s="320"/>
      <c r="C43" s="161"/>
      <c r="D43" s="161"/>
      <c r="E43" s="161"/>
      <c r="F43" s="161"/>
      <c r="G43" s="161"/>
      <c r="H43" s="161"/>
      <c r="I43" s="161"/>
      <c r="J43" s="161"/>
      <c r="K43" s="161"/>
      <c r="L43" s="161"/>
      <c r="M43" s="161"/>
      <c r="N43" s="161"/>
      <c r="O43" s="161"/>
      <c r="P43" s="161"/>
      <c r="Q43" s="161"/>
      <c r="R43" s="161"/>
      <c r="S43" s="161"/>
      <c r="T43" s="161"/>
      <c r="U43" s="161"/>
      <c r="V43" s="161"/>
      <c r="W43" s="161"/>
      <c r="X43" s="321">
        <f t="shared" si="0"/>
        <v>0</v>
      </c>
      <c r="Y43" s="356" t="s">
        <v>64</v>
      </c>
      <c r="Z43" s="156"/>
      <c r="AA43" s="142"/>
      <c r="AB43" s="142"/>
      <c r="AC43" s="364">
        <f>100-22.83</f>
        <v>77.17</v>
      </c>
      <c r="AD43" s="368"/>
      <c r="AE43" s="367"/>
      <c r="AF43" s="319">
        <f>-SUM(AF40:AF42)</f>
        <v>0</v>
      </c>
      <c r="AG43" s="321">
        <f>-AF43*AC43/100</f>
        <v>0</v>
      </c>
      <c r="AH43" s="322">
        <f t="shared" si="3"/>
        <v>0</v>
      </c>
      <c r="AI43" s="365">
        <f>AG43*65.2%</f>
        <v>0</v>
      </c>
      <c r="AJ43" s="365">
        <f>AG43*9.9%</f>
        <v>0</v>
      </c>
      <c r="AK43" s="361">
        <f>AG43*13.3%</f>
        <v>0</v>
      </c>
      <c r="AL43" s="361">
        <f>AG43*7%</f>
        <v>0</v>
      </c>
      <c r="AM43" s="361">
        <f>AG43*0%</f>
        <v>0</v>
      </c>
      <c r="AN43" s="361">
        <f>AG43*3.2%</f>
        <v>0</v>
      </c>
      <c r="AO43" s="361">
        <f>AG43*1.5%</f>
        <v>0</v>
      </c>
      <c r="AP43" s="361"/>
      <c r="AQ43" s="321"/>
    </row>
    <row r="44" spans="1:44" ht="15" customHeight="1">
      <c r="A44" s="320"/>
      <c r="B44" s="361"/>
      <c r="C44" s="380"/>
      <c r="D44" s="161"/>
      <c r="E44" s="380"/>
      <c r="F44" s="161"/>
      <c r="G44" s="161"/>
      <c r="H44" s="161"/>
      <c r="I44" s="379"/>
      <c r="J44" s="161"/>
      <c r="K44" s="161"/>
      <c r="L44" s="161"/>
      <c r="M44" s="161"/>
      <c r="N44" s="161"/>
      <c r="O44" s="379"/>
      <c r="P44" s="161"/>
      <c r="Q44" s="380"/>
      <c r="R44" s="379"/>
      <c r="S44" s="379"/>
      <c r="T44" s="379"/>
      <c r="U44" s="379"/>
      <c r="V44" s="161"/>
      <c r="W44" s="379"/>
      <c r="X44" s="321">
        <f t="shared" si="0"/>
        <v>0</v>
      </c>
      <c r="Y44" s="356" t="s">
        <v>43</v>
      </c>
      <c r="Z44" s="363"/>
      <c r="AA44" s="142"/>
      <c r="AB44" s="361"/>
      <c r="AC44" s="143"/>
      <c r="AD44" s="319">
        <f>X44*Z44/100</f>
        <v>0</v>
      </c>
      <c r="AE44" s="321"/>
      <c r="AF44" s="319">
        <f t="shared" ref="AF44:AF51" si="5">X44*AB44/100</f>
        <v>0</v>
      </c>
      <c r="AG44" s="321"/>
      <c r="AH44" s="322">
        <f t="shared" si="3"/>
        <v>0</v>
      </c>
      <c r="AI44" s="371"/>
      <c r="AJ44" s="370"/>
      <c r="AK44" s="370"/>
      <c r="AL44" s="370"/>
      <c r="AM44" s="370"/>
      <c r="AN44" s="370"/>
      <c r="AO44" s="370"/>
      <c r="AP44" s="370"/>
      <c r="AQ44" s="321"/>
    </row>
    <row r="45" spans="1:44" ht="15" customHeight="1">
      <c r="A45" s="320"/>
      <c r="B45" s="370"/>
      <c r="C45" s="161"/>
      <c r="D45" s="161"/>
      <c r="E45" s="161"/>
      <c r="F45" s="161"/>
      <c r="G45" s="161"/>
      <c r="H45" s="161"/>
      <c r="I45" s="312">
        <f>(101.6-64.82)*0.9</f>
        <v>33.102000000000004</v>
      </c>
      <c r="J45" s="161"/>
      <c r="K45" s="161"/>
      <c r="L45" s="161"/>
      <c r="M45" s="161"/>
      <c r="N45" s="161"/>
      <c r="O45" s="379"/>
      <c r="P45" s="161"/>
      <c r="Q45" s="161"/>
      <c r="R45" s="161"/>
      <c r="S45" s="379"/>
      <c r="T45" s="379"/>
      <c r="U45" s="161"/>
      <c r="V45" s="161"/>
      <c r="W45" s="161"/>
      <c r="X45" s="321">
        <f t="shared" si="0"/>
        <v>33.102000000000004</v>
      </c>
      <c r="Y45" s="356" t="s">
        <v>44</v>
      </c>
      <c r="Z45" s="363">
        <v>39.1</v>
      </c>
      <c r="AA45" s="142"/>
      <c r="AB45" s="361">
        <v>53.4</v>
      </c>
      <c r="AC45" s="143"/>
      <c r="AD45" s="319">
        <f>X45*Z45/100</f>
        <v>12.942882000000003</v>
      </c>
      <c r="AE45" s="321"/>
      <c r="AF45" s="319">
        <f t="shared" si="5"/>
        <v>17.676468000000003</v>
      </c>
      <c r="AG45" s="321"/>
      <c r="AH45" s="322">
        <f t="shared" si="3"/>
        <v>0</v>
      </c>
      <c r="AI45" s="371"/>
      <c r="AJ45" s="370"/>
      <c r="AK45" s="370"/>
      <c r="AL45" s="370"/>
      <c r="AM45" s="370"/>
      <c r="AN45" s="370"/>
      <c r="AO45" s="370"/>
      <c r="AP45" s="370"/>
      <c r="AQ45" s="321"/>
    </row>
    <row r="46" spans="1:44" ht="15" customHeight="1">
      <c r="A46" s="320"/>
      <c r="B46" s="320"/>
      <c r="C46" s="161"/>
      <c r="D46" s="161"/>
      <c r="E46" s="161"/>
      <c r="F46" s="161"/>
      <c r="G46" s="161"/>
      <c r="H46" s="161"/>
      <c r="I46" s="379"/>
      <c r="J46" s="161"/>
      <c r="K46" s="161"/>
      <c r="L46" s="161"/>
      <c r="M46" s="161"/>
      <c r="N46" s="161"/>
      <c r="O46" s="161"/>
      <c r="P46" s="161"/>
      <c r="Q46" s="161"/>
      <c r="R46" s="161"/>
      <c r="S46" s="162"/>
      <c r="T46" s="161"/>
      <c r="U46" s="161"/>
      <c r="V46" s="161"/>
      <c r="W46" s="161"/>
      <c r="X46" s="321">
        <f t="shared" si="0"/>
        <v>0</v>
      </c>
      <c r="Y46" s="356" t="s">
        <v>29</v>
      </c>
      <c r="Z46" s="363"/>
      <c r="AA46" s="142"/>
      <c r="AB46" s="361"/>
      <c r="AC46" s="143"/>
      <c r="AD46" s="319">
        <f>X46*Z46/100</f>
        <v>0</v>
      </c>
      <c r="AE46" s="321"/>
      <c r="AF46" s="319">
        <f t="shared" si="5"/>
        <v>0</v>
      </c>
      <c r="AG46" s="321"/>
      <c r="AH46" s="322">
        <f t="shared" si="3"/>
        <v>0</v>
      </c>
      <c r="AI46" s="371"/>
      <c r="AJ46" s="370"/>
      <c r="AK46" s="370"/>
      <c r="AL46" s="370"/>
      <c r="AM46" s="370"/>
      <c r="AN46" s="370"/>
      <c r="AO46" s="370"/>
      <c r="AP46" s="370"/>
      <c r="AQ46" s="321"/>
    </row>
    <row r="47" spans="1:44" ht="15" customHeight="1">
      <c r="A47" s="320"/>
      <c r="B47" s="320"/>
      <c r="C47" s="161"/>
      <c r="D47" s="379"/>
      <c r="E47" s="379"/>
      <c r="F47" s="161"/>
      <c r="G47" s="161"/>
      <c r="H47" s="161"/>
      <c r="I47" s="312">
        <f>(54.3-18.6-12.338)*0.9</f>
        <v>21.025799999999997</v>
      </c>
      <c r="J47" s="161"/>
      <c r="K47" s="161"/>
      <c r="L47" s="161"/>
      <c r="M47" s="161"/>
      <c r="N47" s="161"/>
      <c r="O47" s="379"/>
      <c r="P47" s="379"/>
      <c r="Q47" s="312">
        <f>43*0.9</f>
        <v>38.700000000000003</v>
      </c>
      <c r="R47" s="379"/>
      <c r="S47" s="312">
        <f>18.9*0.9</f>
        <v>17.009999999999998</v>
      </c>
      <c r="T47" s="379"/>
      <c r="U47" s="161"/>
      <c r="V47" s="161"/>
      <c r="W47" s="161"/>
      <c r="X47" s="321">
        <f t="shared" si="0"/>
        <v>76.735799999999998</v>
      </c>
      <c r="Y47" s="356" t="s">
        <v>30</v>
      </c>
      <c r="Z47" s="156"/>
      <c r="AA47" s="142"/>
      <c r="AB47" s="361">
        <v>94.1</v>
      </c>
      <c r="AC47" s="143"/>
      <c r="AD47" s="319">
        <f>X47*Z47/100</f>
        <v>0</v>
      </c>
      <c r="AE47" s="321"/>
      <c r="AF47" s="319">
        <f t="shared" si="5"/>
        <v>72.208387799999997</v>
      </c>
      <c r="AG47" s="321"/>
      <c r="AH47" s="322">
        <f t="shared" si="3"/>
        <v>0</v>
      </c>
      <c r="AI47" s="371"/>
      <c r="AJ47" s="370"/>
      <c r="AK47" s="370"/>
      <c r="AL47" s="370"/>
      <c r="AM47" s="370"/>
      <c r="AN47" s="370"/>
      <c r="AO47" s="370"/>
      <c r="AP47" s="370"/>
      <c r="AQ47" s="321"/>
    </row>
    <row r="48" spans="1:44" s="1" customFormat="1" ht="15" customHeight="1">
      <c r="A48" s="163"/>
      <c r="B48" s="163"/>
      <c r="C48" s="160"/>
      <c r="D48" s="160"/>
      <c r="E48" s="160"/>
      <c r="F48" s="160"/>
      <c r="G48" s="160"/>
      <c r="H48" s="160"/>
      <c r="I48" s="161"/>
      <c r="J48" s="161"/>
      <c r="K48" s="160"/>
      <c r="L48" s="160"/>
      <c r="M48" s="160"/>
      <c r="N48" s="361">
        <f>AF48-AE48</f>
        <v>25</v>
      </c>
      <c r="O48" s="161"/>
      <c r="P48" s="161"/>
      <c r="Q48" s="161"/>
      <c r="R48" s="161"/>
      <c r="S48" s="161"/>
      <c r="T48" s="161"/>
      <c r="U48" s="161"/>
      <c r="V48" s="161"/>
      <c r="W48" s="161"/>
      <c r="X48" s="321">
        <f t="shared" si="0"/>
        <v>25</v>
      </c>
      <c r="Y48" s="356" t="s">
        <v>116</v>
      </c>
      <c r="Z48" s="368"/>
      <c r="AA48" s="370"/>
      <c r="AB48" s="311">
        <v>350</v>
      </c>
      <c r="AC48" s="367"/>
      <c r="AD48" s="156">
        <f>-AE48/$D$2%</f>
        <v>-10.887316276537833</v>
      </c>
      <c r="AE48" s="382">
        <f>10</f>
        <v>10</v>
      </c>
      <c r="AF48" s="368">
        <f>AE48*AB48%</f>
        <v>35</v>
      </c>
      <c r="AG48" s="143"/>
      <c r="AH48" s="159"/>
      <c r="AI48" s="155"/>
      <c r="AJ48" s="142"/>
      <c r="AK48" s="142"/>
      <c r="AL48" s="142"/>
      <c r="AM48" s="142"/>
      <c r="AN48" s="142"/>
      <c r="AO48" s="142"/>
      <c r="AP48" s="142"/>
      <c r="AQ48" s="158"/>
    </row>
    <row r="49" spans="1:43" s="1" customFormat="1" ht="15" customHeight="1">
      <c r="A49" s="163"/>
      <c r="B49" s="163"/>
      <c r="C49" s="160"/>
      <c r="D49" s="160"/>
      <c r="E49" s="160"/>
      <c r="F49" s="160"/>
      <c r="G49" s="160"/>
      <c r="H49" s="160"/>
      <c r="I49" s="161"/>
      <c r="J49" s="161"/>
      <c r="K49" s="160"/>
      <c r="L49" s="160"/>
      <c r="M49" s="160"/>
      <c r="N49" s="370"/>
      <c r="O49" s="161"/>
      <c r="P49" s="161"/>
      <c r="Q49" s="161"/>
      <c r="R49" s="161"/>
      <c r="S49" s="161"/>
      <c r="T49" s="161"/>
      <c r="U49" s="161"/>
      <c r="V49" s="161"/>
      <c r="W49" s="161"/>
      <c r="X49" s="321">
        <f t="shared" si="0"/>
        <v>0</v>
      </c>
      <c r="Y49" s="356" t="s">
        <v>117</v>
      </c>
      <c r="Z49" s="368"/>
      <c r="AA49" s="370"/>
      <c r="AB49" s="361">
        <v>100.2</v>
      </c>
      <c r="AC49" s="367"/>
      <c r="AD49" s="156">
        <f>-AE49/$D$2%</f>
        <v>-13.432770821992378</v>
      </c>
      <c r="AE49" s="382">
        <v>12.337999999999999</v>
      </c>
      <c r="AF49" s="156">
        <f>AE49*AB49%</f>
        <v>12.362675999999999</v>
      </c>
      <c r="AG49" s="143"/>
      <c r="AH49" s="159"/>
      <c r="AI49" s="155"/>
      <c r="AJ49" s="142"/>
      <c r="AK49" s="142"/>
      <c r="AL49" s="142"/>
      <c r="AM49" s="142"/>
      <c r="AN49" s="142"/>
      <c r="AO49" s="142"/>
      <c r="AP49" s="142"/>
      <c r="AQ49" s="158"/>
    </row>
    <row r="50" spans="1:43" ht="15" customHeight="1">
      <c r="A50" s="320"/>
      <c r="B50" s="320"/>
      <c r="C50" s="160"/>
      <c r="D50" s="160"/>
      <c r="E50" s="160"/>
      <c r="F50" s="160"/>
      <c r="G50" s="160"/>
      <c r="H50" s="160"/>
      <c r="I50" s="160"/>
      <c r="J50" s="160"/>
      <c r="K50" s="160"/>
      <c r="L50" s="379"/>
      <c r="M50" s="160"/>
      <c r="N50" s="142"/>
      <c r="O50" s="161"/>
      <c r="P50" s="161"/>
      <c r="Q50" s="161"/>
      <c r="R50" s="161"/>
      <c r="S50" s="161"/>
      <c r="T50" s="161"/>
      <c r="U50" s="161"/>
      <c r="V50" s="161"/>
      <c r="W50" s="161"/>
      <c r="X50" s="321">
        <f t="shared" si="0"/>
        <v>0</v>
      </c>
      <c r="Y50" s="358" t="s">
        <v>36</v>
      </c>
      <c r="Z50" s="156"/>
      <c r="AA50" s="142"/>
      <c r="AB50" s="361">
        <v>100</v>
      </c>
      <c r="AC50" s="143"/>
      <c r="AD50" s="319"/>
      <c r="AE50" s="321"/>
      <c r="AF50" s="319">
        <f t="shared" si="5"/>
        <v>0</v>
      </c>
      <c r="AG50" s="321"/>
      <c r="AH50" s="322">
        <f t="shared" si="3"/>
        <v>0</v>
      </c>
      <c r="AI50" s="371"/>
      <c r="AJ50" s="370"/>
      <c r="AK50" s="370"/>
      <c r="AL50" s="370"/>
      <c r="AM50" s="370"/>
      <c r="AN50" s="370"/>
      <c r="AO50" s="370"/>
      <c r="AP50" s="370"/>
      <c r="AQ50" s="321"/>
    </row>
    <row r="51" spans="1:43" ht="15" customHeight="1">
      <c r="A51" s="370"/>
      <c r="B51" s="361"/>
      <c r="C51" s="161"/>
      <c r="D51" s="161"/>
      <c r="E51" s="379"/>
      <c r="F51" s="161"/>
      <c r="G51" s="161"/>
      <c r="H51" s="161"/>
      <c r="I51" s="379"/>
      <c r="J51" s="161"/>
      <c r="K51" s="161"/>
      <c r="L51" s="161"/>
      <c r="M51" s="161"/>
      <c r="N51" s="142"/>
      <c r="O51" s="161"/>
      <c r="P51" s="161"/>
      <c r="Q51" s="161"/>
      <c r="R51" s="379"/>
      <c r="S51" s="379"/>
      <c r="T51" s="161"/>
      <c r="U51" s="379"/>
      <c r="V51" s="161"/>
      <c r="W51" s="379"/>
      <c r="X51" s="321">
        <f t="shared" si="0"/>
        <v>0</v>
      </c>
      <c r="Y51" s="356" t="s">
        <v>31</v>
      </c>
      <c r="Z51" s="363"/>
      <c r="AA51" s="142"/>
      <c r="AB51" s="361"/>
      <c r="AC51" s="143"/>
      <c r="AD51" s="319">
        <f>X51*Z51/100</f>
        <v>0</v>
      </c>
      <c r="AE51" s="321"/>
      <c r="AF51" s="319">
        <f t="shared" si="5"/>
        <v>0</v>
      </c>
      <c r="AG51" s="321"/>
      <c r="AH51" s="322">
        <f t="shared" si="3"/>
        <v>0</v>
      </c>
      <c r="AI51" s="371"/>
      <c r="AJ51" s="370"/>
      <c r="AK51" s="370"/>
      <c r="AL51" s="370"/>
      <c r="AM51" s="370"/>
      <c r="AN51" s="370"/>
      <c r="AO51" s="370"/>
      <c r="AP51" s="370"/>
      <c r="AQ51" s="321"/>
    </row>
    <row r="52" spans="1:43" ht="15" customHeight="1">
      <c r="A52" s="320"/>
      <c r="B52" s="320"/>
      <c r="C52" s="160"/>
      <c r="D52" s="160"/>
      <c r="E52" s="160"/>
      <c r="F52" s="160"/>
      <c r="G52" s="160"/>
      <c r="H52" s="160"/>
      <c r="I52" s="160"/>
      <c r="J52" s="160"/>
      <c r="K52" s="160"/>
      <c r="L52" s="160"/>
      <c r="M52" s="160"/>
      <c r="N52" s="142"/>
      <c r="O52" s="161"/>
      <c r="P52" s="161"/>
      <c r="Q52" s="161"/>
      <c r="R52" s="161"/>
      <c r="S52" s="161"/>
      <c r="T52" s="161"/>
      <c r="U52" s="161"/>
      <c r="V52" s="161"/>
      <c r="W52" s="161"/>
      <c r="X52" s="321">
        <f t="shared" si="0"/>
        <v>0</v>
      </c>
      <c r="Y52" s="356" t="s">
        <v>65</v>
      </c>
      <c r="Z52" s="156"/>
      <c r="AA52" s="142"/>
      <c r="AB52" s="142"/>
      <c r="AC52" s="364">
        <f>100-22.83</f>
        <v>77.17</v>
      </c>
      <c r="AD52" s="368"/>
      <c r="AE52" s="367"/>
      <c r="AF52" s="368">
        <f>-SUM(AF44:AF51)</f>
        <v>-137.24753179999999</v>
      </c>
      <c r="AG52" s="367">
        <f>-AF52*AC52/100</f>
        <v>105.91392029005999</v>
      </c>
      <c r="AH52" s="322">
        <f t="shared" si="3"/>
        <v>106.01983421035006</v>
      </c>
      <c r="AI52" s="365">
        <f>AG52*65.2%</f>
        <v>69.055876029119119</v>
      </c>
      <c r="AJ52" s="365">
        <f>AG52*9.9%</f>
        <v>10.48547810871594</v>
      </c>
      <c r="AK52" s="361">
        <f>AG52*13.3%</f>
        <v>14.08655139857798</v>
      </c>
      <c r="AL52" s="361">
        <f>AG52*7%</f>
        <v>7.4139744203042</v>
      </c>
      <c r="AM52" s="361">
        <f>AG52*0%</f>
        <v>0</v>
      </c>
      <c r="AN52" s="361">
        <f>AG52*3.2%</f>
        <v>3.38924544928192</v>
      </c>
      <c r="AO52" s="361">
        <f>AG52*1.5%</f>
        <v>1.5887088043508999</v>
      </c>
      <c r="AP52" s="361"/>
      <c r="AQ52" s="321"/>
    </row>
    <row r="53" spans="1:43" ht="15" customHeight="1">
      <c r="A53" s="320"/>
      <c r="B53" s="320"/>
      <c r="C53" s="160"/>
      <c r="D53" s="160"/>
      <c r="E53" s="379"/>
      <c r="F53" s="160"/>
      <c r="G53" s="160"/>
      <c r="H53" s="160"/>
      <c r="I53" s="379"/>
      <c r="J53" s="161"/>
      <c r="K53" s="161"/>
      <c r="L53" s="161"/>
      <c r="M53" s="161"/>
      <c r="N53" s="142"/>
      <c r="O53" s="379"/>
      <c r="P53" s="161"/>
      <c r="Q53" s="161"/>
      <c r="R53" s="161"/>
      <c r="S53" s="161"/>
      <c r="T53" s="379"/>
      <c r="U53" s="161"/>
      <c r="V53" s="312">
        <f>23.1*0.9</f>
        <v>20.790000000000003</v>
      </c>
      <c r="W53" s="161"/>
      <c r="X53" s="321">
        <f t="shared" si="0"/>
        <v>20.790000000000003</v>
      </c>
      <c r="Y53" s="356" t="s">
        <v>16</v>
      </c>
      <c r="Z53" s="363">
        <v>29.3</v>
      </c>
      <c r="AA53" s="142"/>
      <c r="AB53" s="361"/>
      <c r="AC53" s="143"/>
      <c r="AD53" s="368">
        <f>X53*Z53/100</f>
        <v>6.0914700000000002</v>
      </c>
      <c r="AE53" s="367"/>
      <c r="AF53" s="368">
        <f>X53*AB53/100</f>
        <v>0</v>
      </c>
      <c r="AG53" s="367"/>
      <c r="AH53" s="322">
        <f t="shared" ref="AH53:AH80" si="6">SUM(AI53:AQ53)</f>
        <v>0</v>
      </c>
      <c r="AI53" s="371"/>
      <c r="AJ53" s="142"/>
      <c r="AK53" s="142"/>
      <c r="AL53" s="142"/>
      <c r="AM53" s="142"/>
      <c r="AN53" s="142"/>
      <c r="AO53" s="142"/>
      <c r="AP53" s="142"/>
      <c r="AQ53" s="321"/>
    </row>
    <row r="54" spans="1:43" ht="15" customHeight="1">
      <c r="A54" s="320"/>
      <c r="B54" s="320"/>
      <c r="C54" s="160"/>
      <c r="D54" s="160"/>
      <c r="E54" s="160"/>
      <c r="F54" s="160"/>
      <c r="G54" s="160"/>
      <c r="H54" s="160"/>
      <c r="I54" s="379"/>
      <c r="J54" s="161"/>
      <c r="K54" s="161"/>
      <c r="L54" s="379"/>
      <c r="M54" s="161"/>
      <c r="N54" s="142"/>
      <c r="O54" s="379"/>
      <c r="P54" s="161"/>
      <c r="Q54" s="161"/>
      <c r="R54" s="161"/>
      <c r="S54" s="379"/>
      <c r="T54" s="379"/>
      <c r="U54" s="161"/>
      <c r="V54" s="161"/>
      <c r="W54" s="161"/>
      <c r="X54" s="327">
        <f t="shared" si="0"/>
        <v>0</v>
      </c>
      <c r="Y54" s="356" t="s">
        <v>17</v>
      </c>
      <c r="Z54" s="156"/>
      <c r="AA54" s="142"/>
      <c r="AB54" s="361"/>
      <c r="AC54" s="143"/>
      <c r="AD54" s="368">
        <f>X54*Z54/100</f>
        <v>0</v>
      </c>
      <c r="AE54" s="367"/>
      <c r="AF54" s="368">
        <f>X54*AB54/100</f>
        <v>0</v>
      </c>
      <c r="AG54" s="367"/>
      <c r="AH54" s="322">
        <f t="shared" si="6"/>
        <v>0</v>
      </c>
      <c r="AI54" s="371"/>
      <c r="AJ54" s="142"/>
      <c r="AK54" s="142"/>
      <c r="AL54" s="142"/>
      <c r="AM54" s="142"/>
      <c r="AN54" s="142"/>
      <c r="AO54" s="142"/>
      <c r="AP54" s="142"/>
      <c r="AQ54" s="321"/>
    </row>
    <row r="55" spans="1:43" ht="15" customHeight="1">
      <c r="A55" s="320"/>
      <c r="B55" s="320"/>
      <c r="C55" s="160"/>
      <c r="D55" s="160"/>
      <c r="E55" s="160"/>
      <c r="F55" s="160"/>
      <c r="G55" s="160"/>
      <c r="H55" s="160"/>
      <c r="I55" s="160"/>
      <c r="J55" s="160"/>
      <c r="K55" s="160"/>
      <c r="L55" s="160"/>
      <c r="M55" s="160"/>
      <c r="N55" s="142"/>
      <c r="O55" s="161"/>
      <c r="P55" s="161"/>
      <c r="Q55" s="161"/>
      <c r="R55" s="161"/>
      <c r="S55" s="161"/>
      <c r="T55" s="161"/>
      <c r="U55" s="161"/>
      <c r="V55" s="161"/>
      <c r="W55" s="161"/>
      <c r="X55" s="327">
        <f t="shared" si="0"/>
        <v>0</v>
      </c>
      <c r="Y55" s="356" t="s">
        <v>66</v>
      </c>
      <c r="Z55" s="156"/>
      <c r="AA55" s="142"/>
      <c r="AB55" s="142"/>
      <c r="AC55" s="364">
        <f>100-22.83</f>
        <v>77.17</v>
      </c>
      <c r="AD55" s="368"/>
      <c r="AE55" s="367"/>
      <c r="AF55" s="368">
        <f>-SUM(AF53:AF54)</f>
        <v>0</v>
      </c>
      <c r="AG55" s="367">
        <f>-AF55*AC55/100</f>
        <v>0</v>
      </c>
      <c r="AH55" s="322">
        <f t="shared" si="6"/>
        <v>0</v>
      </c>
      <c r="AI55" s="365">
        <f>AG55*65.2%</f>
        <v>0</v>
      </c>
      <c r="AJ55" s="365">
        <f>AG55*9.9%</f>
        <v>0</v>
      </c>
      <c r="AK55" s="361">
        <f>AG55*13.3%</f>
        <v>0</v>
      </c>
      <c r="AL55" s="361">
        <f>AG55*7%</f>
        <v>0</v>
      </c>
      <c r="AM55" s="361">
        <f>AG55*0%</f>
        <v>0</v>
      </c>
      <c r="AN55" s="361">
        <f>AG55*3.2%</f>
        <v>0</v>
      </c>
      <c r="AO55" s="361">
        <f>AG55*1.5%</f>
        <v>0</v>
      </c>
      <c r="AP55" s="361"/>
      <c r="AQ55" s="321"/>
    </row>
    <row r="56" spans="1:43" ht="15" customHeight="1">
      <c r="A56" s="320"/>
      <c r="B56" s="320"/>
      <c r="C56" s="160"/>
      <c r="D56" s="379"/>
      <c r="E56" s="312">
        <f>7.5*0.9</f>
        <v>6.75</v>
      </c>
      <c r="F56" s="160"/>
      <c r="G56" s="160"/>
      <c r="H56" s="160"/>
      <c r="I56" s="312">
        <f>(18.6-11.16)*0.9</f>
        <v>6.6960000000000015</v>
      </c>
      <c r="J56" s="160"/>
      <c r="K56" s="160"/>
      <c r="L56" s="160"/>
      <c r="M56" s="160"/>
      <c r="N56" s="142"/>
      <c r="O56" s="379"/>
      <c r="P56" s="379"/>
      <c r="Q56" s="312">
        <f>59.3*0.9</f>
        <v>53.37</v>
      </c>
      <c r="R56" s="379"/>
      <c r="S56" s="379"/>
      <c r="T56" s="379"/>
      <c r="U56" s="161"/>
      <c r="V56" s="161"/>
      <c r="W56" s="161"/>
      <c r="X56" s="327">
        <f t="shared" si="0"/>
        <v>66.816000000000003</v>
      </c>
      <c r="Y56" s="356" t="s">
        <v>28</v>
      </c>
      <c r="Z56" s="156"/>
      <c r="AA56" s="142"/>
      <c r="AB56" s="361">
        <v>89.9</v>
      </c>
      <c r="AC56" s="143"/>
      <c r="AD56" s="368"/>
      <c r="AE56" s="367"/>
      <c r="AF56" s="368">
        <f>X56*AB56/100</f>
        <v>60.067584000000004</v>
      </c>
      <c r="AG56" s="367"/>
      <c r="AH56" s="322">
        <f t="shared" si="6"/>
        <v>0</v>
      </c>
      <c r="AI56" s="371"/>
      <c r="AJ56" s="370"/>
      <c r="AK56" s="370"/>
      <c r="AL56" s="370"/>
      <c r="AM56" s="370"/>
      <c r="AN56" s="370"/>
      <c r="AO56" s="370"/>
      <c r="AP56" s="370"/>
      <c r="AQ56" s="321"/>
    </row>
    <row r="57" spans="1:43" ht="15" customHeight="1">
      <c r="A57" s="320"/>
      <c r="B57" s="320"/>
      <c r="C57" s="357"/>
      <c r="D57" s="357"/>
      <c r="E57" s="357"/>
      <c r="F57" s="357"/>
      <c r="G57" s="357"/>
      <c r="H57" s="357"/>
      <c r="I57" s="381"/>
      <c r="J57" s="357"/>
      <c r="K57" s="357"/>
      <c r="L57" s="357"/>
      <c r="M57" s="357"/>
      <c r="N57" s="361">
        <f>AF57-AE57</f>
        <v>0</v>
      </c>
      <c r="O57" s="381"/>
      <c r="P57" s="381"/>
      <c r="Q57" s="381"/>
      <c r="R57" s="381"/>
      <c r="S57" s="381"/>
      <c r="T57" s="381"/>
      <c r="U57" s="381"/>
      <c r="V57" s="381"/>
      <c r="W57" s="381"/>
      <c r="X57" s="327">
        <f t="shared" si="0"/>
        <v>0</v>
      </c>
      <c r="Y57" s="356" t="s">
        <v>120</v>
      </c>
      <c r="Z57" s="368"/>
      <c r="AA57" s="370"/>
      <c r="AB57" s="361"/>
      <c r="AC57" s="367"/>
      <c r="AD57" s="368">
        <f>-AE57/$D$2%</f>
        <v>0</v>
      </c>
      <c r="AE57" s="364"/>
      <c r="AF57" s="368">
        <f>AE57*AB57%</f>
        <v>0</v>
      </c>
      <c r="AG57" s="321"/>
      <c r="AH57" s="322"/>
      <c r="AI57" s="371"/>
      <c r="AJ57" s="370"/>
      <c r="AK57" s="370"/>
      <c r="AL57" s="370"/>
      <c r="AM57" s="370"/>
      <c r="AN57" s="370"/>
      <c r="AO57" s="370"/>
      <c r="AP57" s="370"/>
      <c r="AQ57" s="321"/>
    </row>
    <row r="58" spans="1:43" ht="15" customHeight="1">
      <c r="A58" s="370"/>
      <c r="B58" s="370"/>
      <c r="C58" s="381"/>
      <c r="D58" s="381"/>
      <c r="E58" s="381"/>
      <c r="F58" s="381"/>
      <c r="G58" s="381"/>
      <c r="H58" s="381"/>
      <c r="I58" s="381"/>
      <c r="J58" s="381"/>
      <c r="K58" s="381"/>
      <c r="L58" s="381"/>
      <c r="M58" s="381"/>
      <c r="N58" s="381"/>
      <c r="O58" s="381"/>
      <c r="P58" s="381"/>
      <c r="Q58" s="381"/>
      <c r="R58" s="381"/>
      <c r="S58" s="381"/>
      <c r="T58" s="381"/>
      <c r="U58" s="381"/>
      <c r="V58" s="381"/>
      <c r="W58" s="381"/>
      <c r="X58" s="327">
        <f t="shared" si="0"/>
        <v>0</v>
      </c>
      <c r="Y58" s="356" t="s">
        <v>118</v>
      </c>
      <c r="Z58" s="368"/>
      <c r="AA58" s="370"/>
      <c r="AB58" s="361">
        <v>100</v>
      </c>
      <c r="AC58" s="367"/>
      <c r="AD58" s="368">
        <f>-AE58/$D$2%</f>
        <v>0</v>
      </c>
      <c r="AE58" s="364"/>
      <c r="AF58" s="156">
        <f>X58*AB58/100</f>
        <v>0</v>
      </c>
      <c r="AG58" s="367"/>
      <c r="AH58" s="322"/>
      <c r="AI58" s="371"/>
      <c r="AJ58" s="370"/>
      <c r="AK58" s="370"/>
      <c r="AL58" s="370"/>
      <c r="AM58" s="370"/>
      <c r="AN58" s="370"/>
      <c r="AO58" s="370"/>
      <c r="AP58" s="370"/>
      <c r="AQ58" s="321"/>
    </row>
    <row r="59" spans="1:43" ht="15" customHeight="1">
      <c r="A59" s="320"/>
      <c r="B59" s="320"/>
      <c r="C59" s="381"/>
      <c r="D59" s="381"/>
      <c r="E59" s="381"/>
      <c r="F59" s="381"/>
      <c r="G59" s="381"/>
      <c r="H59" s="381"/>
      <c r="I59" s="381"/>
      <c r="J59" s="381"/>
      <c r="K59" s="381"/>
      <c r="L59" s="381"/>
      <c r="M59" s="381"/>
      <c r="N59" s="381"/>
      <c r="O59" s="381"/>
      <c r="P59" s="381"/>
      <c r="Q59" s="381"/>
      <c r="R59" s="381"/>
      <c r="S59" s="381"/>
      <c r="T59" s="381"/>
      <c r="U59" s="381"/>
      <c r="V59" s="381"/>
      <c r="W59" s="381"/>
      <c r="X59" s="327">
        <f t="shared" si="0"/>
        <v>0</v>
      </c>
      <c r="Y59" s="356" t="s">
        <v>119</v>
      </c>
      <c r="Z59" s="368"/>
      <c r="AA59" s="370"/>
      <c r="AB59" s="370"/>
      <c r="AC59" s="367"/>
      <c r="AD59" s="368"/>
      <c r="AE59" s="367"/>
      <c r="AF59" s="368">
        <f>X59*AB59/100</f>
        <v>0</v>
      </c>
      <c r="AG59" s="367"/>
      <c r="AH59" s="322"/>
      <c r="AI59" s="371"/>
      <c r="AJ59" s="370"/>
      <c r="AK59" s="370"/>
      <c r="AL59" s="370"/>
      <c r="AM59" s="370"/>
      <c r="AN59" s="370"/>
      <c r="AO59" s="370"/>
      <c r="AP59" s="370"/>
      <c r="AQ59" s="321"/>
    </row>
    <row r="60" spans="1:43" ht="15" customHeight="1">
      <c r="A60" s="320"/>
      <c r="B60" s="320"/>
      <c r="C60" s="160"/>
      <c r="D60" s="160"/>
      <c r="E60" s="160"/>
      <c r="F60" s="160"/>
      <c r="G60" s="160"/>
      <c r="H60" s="160"/>
      <c r="I60" s="170"/>
      <c r="J60" s="160"/>
      <c r="K60" s="160"/>
      <c r="L60" s="312">
        <f>21.8+ 11.16</f>
        <v>32.96</v>
      </c>
      <c r="M60" s="160"/>
      <c r="N60" s="161"/>
      <c r="O60" s="161"/>
      <c r="P60" s="161"/>
      <c r="Q60" s="161"/>
      <c r="R60" s="161"/>
      <c r="S60" s="161"/>
      <c r="T60" s="161"/>
      <c r="U60" s="161"/>
      <c r="V60" s="161"/>
      <c r="W60" s="161"/>
      <c r="X60" s="327">
        <f t="shared" si="0"/>
        <v>32.96</v>
      </c>
      <c r="Y60" s="356" t="s">
        <v>247</v>
      </c>
      <c r="Z60" s="156"/>
      <c r="AA60" s="142"/>
      <c r="AB60" s="361">
        <v>100</v>
      </c>
      <c r="AC60" s="143"/>
      <c r="AD60" s="368"/>
      <c r="AE60" s="367"/>
      <c r="AF60" s="368">
        <f>X60*AB60/100</f>
        <v>32.96</v>
      </c>
      <c r="AG60" s="367"/>
      <c r="AH60" s="322">
        <f t="shared" si="6"/>
        <v>0</v>
      </c>
      <c r="AI60" s="371"/>
      <c r="AJ60" s="370"/>
      <c r="AK60" s="370"/>
      <c r="AL60" s="370"/>
      <c r="AM60" s="370"/>
      <c r="AN60" s="370"/>
      <c r="AO60" s="370"/>
      <c r="AP60" s="370"/>
      <c r="AQ60" s="321"/>
    </row>
    <row r="61" spans="1:43" ht="15" customHeight="1">
      <c r="A61" s="319"/>
      <c r="B61" s="320"/>
      <c r="C61" s="160"/>
      <c r="D61" s="160"/>
      <c r="E61" s="160"/>
      <c r="F61" s="160"/>
      <c r="G61" s="160"/>
      <c r="H61" s="160"/>
      <c r="I61" s="160"/>
      <c r="J61" s="160"/>
      <c r="K61" s="160"/>
      <c r="L61" s="160"/>
      <c r="M61" s="160"/>
      <c r="N61" s="161"/>
      <c r="O61" s="161"/>
      <c r="P61" s="161"/>
      <c r="Q61" s="161"/>
      <c r="R61" s="161"/>
      <c r="S61" s="161"/>
      <c r="T61" s="161"/>
      <c r="U61" s="161"/>
      <c r="V61" s="161"/>
      <c r="W61" s="161"/>
      <c r="X61" s="327">
        <f t="shared" si="0"/>
        <v>0</v>
      </c>
      <c r="Y61" s="356" t="s">
        <v>37</v>
      </c>
      <c r="Z61" s="156"/>
      <c r="AA61" s="142"/>
      <c r="AB61" s="142"/>
      <c r="AC61" s="143"/>
      <c r="AD61" s="368">
        <f>X61*Z61%</f>
        <v>0</v>
      </c>
      <c r="AE61" s="367"/>
      <c r="AF61" s="368">
        <f>X61*AB61%</f>
        <v>0</v>
      </c>
      <c r="AG61" s="367"/>
      <c r="AH61" s="322">
        <f t="shared" si="6"/>
        <v>0</v>
      </c>
      <c r="AI61" s="371"/>
      <c r="AJ61" s="370"/>
      <c r="AK61" s="370"/>
      <c r="AL61" s="370"/>
      <c r="AM61" s="370"/>
      <c r="AN61" s="370"/>
      <c r="AO61" s="370"/>
      <c r="AP61" s="370"/>
      <c r="AQ61" s="321"/>
    </row>
    <row r="62" spans="1:43" ht="15" customHeight="1">
      <c r="A62" s="320"/>
      <c r="B62" s="320"/>
      <c r="C62" s="160"/>
      <c r="D62" s="160"/>
      <c r="E62" s="160"/>
      <c r="F62" s="160"/>
      <c r="G62" s="160"/>
      <c r="H62" s="160"/>
      <c r="I62" s="170"/>
      <c r="J62" s="160"/>
      <c r="K62" s="160"/>
      <c r="L62" s="160"/>
      <c r="M62" s="160"/>
      <c r="N62" s="161"/>
      <c r="O62" s="160"/>
      <c r="P62" s="160"/>
      <c r="Q62" s="160"/>
      <c r="R62" s="160"/>
      <c r="S62" s="160"/>
      <c r="T62" s="160"/>
      <c r="U62" s="160"/>
      <c r="V62" s="160"/>
      <c r="W62" s="160"/>
      <c r="X62" s="327">
        <f t="shared" si="0"/>
        <v>0</v>
      </c>
      <c r="Y62" s="356" t="s">
        <v>115</v>
      </c>
      <c r="Z62" s="156"/>
      <c r="AA62" s="142"/>
      <c r="AB62" s="142"/>
      <c r="AC62" s="364">
        <f>100-22.83</f>
        <v>77.17</v>
      </c>
      <c r="AD62" s="368"/>
      <c r="AE62" s="367"/>
      <c r="AF62" s="157">
        <f>-SUM(AF56:AF61)</f>
        <v>-93.027584000000004</v>
      </c>
      <c r="AG62" s="367">
        <f>-AF62*AC62/100</f>
        <v>71.789386572799998</v>
      </c>
      <c r="AH62" s="322">
        <f t="shared" si="6"/>
        <v>71.861175959372787</v>
      </c>
      <c r="AI62" s="365">
        <f>AG62*65.2%</f>
        <v>46.806680045465598</v>
      </c>
      <c r="AJ62" s="365">
        <f>AG62*9.9%</f>
        <v>7.1071492707072004</v>
      </c>
      <c r="AK62" s="361">
        <f>AG62*13.3%</f>
        <v>9.5479884141824005</v>
      </c>
      <c r="AL62" s="361">
        <f>AG62*7%</f>
        <v>5.025257060096</v>
      </c>
      <c r="AM62" s="361">
        <f>AG62*0%</f>
        <v>0</v>
      </c>
      <c r="AN62" s="361">
        <f>AG62*3.2%</f>
        <v>2.2972603703296</v>
      </c>
      <c r="AO62" s="361">
        <f>AG62*1.5%</f>
        <v>1.0768407985919999</v>
      </c>
      <c r="AP62" s="361"/>
      <c r="AQ62" s="321"/>
    </row>
    <row r="63" spans="1:43" ht="15" customHeight="1">
      <c r="A63" s="320"/>
      <c r="B63" s="320"/>
      <c r="C63" s="160"/>
      <c r="D63" s="379"/>
      <c r="E63" s="160"/>
      <c r="F63" s="160"/>
      <c r="G63" s="160"/>
      <c r="H63" s="160"/>
      <c r="I63" s="161"/>
      <c r="J63" s="160"/>
      <c r="K63" s="160"/>
      <c r="L63" s="160"/>
      <c r="M63" s="160"/>
      <c r="N63" s="161"/>
      <c r="O63" s="160"/>
      <c r="P63" s="379"/>
      <c r="Q63" s="160"/>
      <c r="R63" s="160"/>
      <c r="S63" s="379"/>
      <c r="T63" s="160"/>
      <c r="U63" s="379"/>
      <c r="V63" s="160"/>
      <c r="W63" s="379"/>
      <c r="X63" s="327">
        <f t="shared" si="0"/>
        <v>0</v>
      </c>
      <c r="Y63" s="356" t="s">
        <v>20</v>
      </c>
      <c r="Z63" s="363"/>
      <c r="AA63" s="142"/>
      <c r="AB63" s="361"/>
      <c r="AC63" s="143"/>
      <c r="AD63" s="319">
        <f t="shared" ref="AD63:AD68" si="7">Z63/100*X63</f>
        <v>0</v>
      </c>
      <c r="AE63" s="321"/>
      <c r="AF63" s="319">
        <f>X63*AB63/100</f>
        <v>0</v>
      </c>
      <c r="AG63" s="321"/>
      <c r="AH63" s="322">
        <f t="shared" si="6"/>
        <v>0</v>
      </c>
      <c r="AI63" s="371"/>
      <c r="AJ63" s="370"/>
      <c r="AK63" s="370"/>
      <c r="AL63" s="370"/>
      <c r="AM63" s="370"/>
      <c r="AN63" s="370"/>
      <c r="AO63" s="370"/>
      <c r="AP63" s="370"/>
      <c r="AQ63" s="321"/>
    </row>
    <row r="64" spans="1:43" ht="15" customHeight="1">
      <c r="A64" s="320"/>
      <c r="B64" s="320"/>
      <c r="C64" s="160"/>
      <c r="D64" s="160"/>
      <c r="E64" s="160"/>
      <c r="F64" s="160"/>
      <c r="G64" s="160"/>
      <c r="H64" s="160"/>
      <c r="I64" s="379"/>
      <c r="J64" s="160"/>
      <c r="K64" s="160"/>
      <c r="L64" s="160"/>
      <c r="M64" s="160"/>
      <c r="N64" s="161"/>
      <c r="O64" s="379"/>
      <c r="P64" s="161"/>
      <c r="Q64" s="161"/>
      <c r="R64" s="161"/>
      <c r="S64" s="161"/>
      <c r="T64" s="379"/>
      <c r="U64" s="160"/>
      <c r="V64" s="160"/>
      <c r="W64" s="160"/>
      <c r="X64" s="327">
        <f t="shared" si="0"/>
        <v>0</v>
      </c>
      <c r="Y64" s="356" t="s">
        <v>21</v>
      </c>
      <c r="Z64" s="363"/>
      <c r="AA64" s="142"/>
      <c r="AB64" s="361"/>
      <c r="AC64" s="143"/>
      <c r="AD64" s="319">
        <f t="shared" si="7"/>
        <v>0</v>
      </c>
      <c r="AE64" s="321"/>
      <c r="AF64" s="319">
        <f>X64*AB64/100</f>
        <v>0</v>
      </c>
      <c r="AG64" s="321"/>
      <c r="AH64" s="322">
        <f t="shared" si="6"/>
        <v>0</v>
      </c>
      <c r="AI64" s="371"/>
      <c r="AJ64" s="370"/>
      <c r="AK64" s="370"/>
      <c r="AL64" s="370"/>
      <c r="AM64" s="370"/>
      <c r="AN64" s="370"/>
      <c r="AO64" s="370"/>
      <c r="AP64" s="370"/>
      <c r="AQ64" s="321"/>
    </row>
    <row r="65" spans="1:43" ht="15" customHeight="1">
      <c r="A65" s="320"/>
      <c r="B65" s="320"/>
      <c r="C65" s="160"/>
      <c r="D65" s="160"/>
      <c r="E65" s="379"/>
      <c r="F65" s="160"/>
      <c r="G65" s="160"/>
      <c r="H65" s="160"/>
      <c r="I65" s="379"/>
      <c r="J65" s="160"/>
      <c r="K65" s="160"/>
      <c r="L65" s="160"/>
      <c r="M65" s="160"/>
      <c r="N65" s="161"/>
      <c r="O65" s="160"/>
      <c r="P65" s="160"/>
      <c r="Q65" s="160"/>
      <c r="R65" s="160"/>
      <c r="S65" s="160"/>
      <c r="T65" s="160"/>
      <c r="U65" s="160"/>
      <c r="V65" s="160"/>
      <c r="W65" s="160"/>
      <c r="X65" s="327">
        <f t="shared" si="0"/>
        <v>0</v>
      </c>
      <c r="Y65" s="356" t="s">
        <v>22</v>
      </c>
      <c r="Z65" s="363"/>
      <c r="AA65" s="142"/>
      <c r="AB65" s="361"/>
      <c r="AC65" s="143"/>
      <c r="AD65" s="319">
        <f t="shared" si="7"/>
        <v>0</v>
      </c>
      <c r="AE65" s="321"/>
      <c r="AF65" s="319">
        <f>X65*AB65/100</f>
        <v>0</v>
      </c>
      <c r="AG65" s="321"/>
      <c r="AH65" s="322">
        <f t="shared" si="6"/>
        <v>0</v>
      </c>
      <c r="AI65" s="371"/>
      <c r="AJ65" s="370"/>
      <c r="AK65" s="370"/>
      <c r="AL65" s="370"/>
      <c r="AM65" s="370"/>
      <c r="AN65" s="370"/>
      <c r="AO65" s="370"/>
      <c r="AP65" s="370"/>
      <c r="AQ65" s="321"/>
    </row>
    <row r="66" spans="1:43" ht="15" customHeight="1">
      <c r="A66" s="320"/>
      <c r="B66" s="320"/>
      <c r="C66" s="370"/>
      <c r="D66" s="370"/>
      <c r="E66" s="361"/>
      <c r="F66" s="370"/>
      <c r="G66" s="370"/>
      <c r="H66" s="370"/>
      <c r="I66" s="361"/>
      <c r="J66" s="320"/>
      <c r="K66" s="320"/>
      <c r="L66" s="320"/>
      <c r="M66" s="320"/>
      <c r="N66" s="370"/>
      <c r="O66" s="361"/>
      <c r="P66" s="370"/>
      <c r="Q66" s="370"/>
      <c r="R66" s="361"/>
      <c r="S66" s="361"/>
      <c r="T66" s="361"/>
      <c r="U66" s="361"/>
      <c r="V66" s="370"/>
      <c r="W66" s="361"/>
      <c r="X66" s="327">
        <f t="shared" si="0"/>
        <v>0</v>
      </c>
      <c r="Y66" s="356" t="s">
        <v>23</v>
      </c>
      <c r="Z66" s="156"/>
      <c r="AA66" s="142"/>
      <c r="AB66" s="361"/>
      <c r="AC66" s="143"/>
      <c r="AD66" s="319">
        <f t="shared" si="7"/>
        <v>0</v>
      </c>
      <c r="AE66" s="321"/>
      <c r="AF66" s="319">
        <f>X66*AB66/100</f>
        <v>0</v>
      </c>
      <c r="AG66" s="321"/>
      <c r="AH66" s="322">
        <f t="shared" si="6"/>
        <v>0</v>
      </c>
      <c r="AI66" s="371"/>
      <c r="AJ66" s="370"/>
      <c r="AK66" s="370"/>
      <c r="AL66" s="370"/>
      <c r="AM66" s="370"/>
      <c r="AN66" s="370"/>
      <c r="AO66" s="370"/>
      <c r="AP66" s="370"/>
      <c r="AQ66" s="321"/>
    </row>
    <row r="67" spans="1:43" ht="15" customHeight="1">
      <c r="A67" s="320"/>
      <c r="B67" s="320"/>
      <c r="C67" s="370"/>
      <c r="D67" s="370"/>
      <c r="E67" s="370"/>
      <c r="F67" s="370"/>
      <c r="G67" s="370"/>
      <c r="H67" s="370"/>
      <c r="I67" s="370"/>
      <c r="J67" s="320"/>
      <c r="K67" s="320"/>
      <c r="L67" s="320"/>
      <c r="M67" s="320"/>
      <c r="N67" s="370"/>
      <c r="O67" s="320"/>
      <c r="P67" s="370"/>
      <c r="Q67" s="320"/>
      <c r="R67" s="320"/>
      <c r="S67" s="320"/>
      <c r="T67" s="320"/>
      <c r="U67" s="320"/>
      <c r="V67" s="370"/>
      <c r="W67" s="320"/>
      <c r="X67" s="327">
        <f t="shared" si="0"/>
        <v>0</v>
      </c>
      <c r="Y67" s="356" t="s">
        <v>24</v>
      </c>
      <c r="Z67" s="156"/>
      <c r="AA67" s="142"/>
      <c r="AB67" s="142"/>
      <c r="AC67" s="143"/>
      <c r="AD67" s="319">
        <f t="shared" si="7"/>
        <v>0</v>
      </c>
      <c r="AE67" s="321"/>
      <c r="AF67" s="319">
        <f>X67*AB67/100</f>
        <v>0</v>
      </c>
      <c r="AG67" s="321"/>
      <c r="AH67" s="322">
        <f t="shared" si="6"/>
        <v>0</v>
      </c>
      <c r="AI67" s="371"/>
      <c r="AJ67" s="370"/>
      <c r="AK67" s="370"/>
      <c r="AL67" s="370"/>
      <c r="AM67" s="370"/>
      <c r="AN67" s="370"/>
      <c r="AO67" s="370"/>
      <c r="AP67" s="370"/>
      <c r="AQ67" s="321"/>
    </row>
    <row r="68" spans="1:43" ht="15" customHeight="1">
      <c r="A68" s="320"/>
      <c r="B68" s="320"/>
      <c r="C68" s="370"/>
      <c r="D68" s="370"/>
      <c r="E68" s="370"/>
      <c r="F68" s="370"/>
      <c r="G68" s="370"/>
      <c r="H68" s="370"/>
      <c r="I68" s="370"/>
      <c r="J68" s="320"/>
      <c r="K68" s="320"/>
      <c r="L68" s="320"/>
      <c r="M68" s="320"/>
      <c r="N68" s="370"/>
      <c r="O68" s="320"/>
      <c r="P68" s="370"/>
      <c r="Q68" s="320"/>
      <c r="R68" s="361"/>
      <c r="S68" s="370"/>
      <c r="T68" s="320"/>
      <c r="U68" s="320"/>
      <c r="V68" s="370"/>
      <c r="W68" s="320"/>
      <c r="X68" s="327">
        <f t="shared" si="0"/>
        <v>0</v>
      </c>
      <c r="Y68" s="356" t="s">
        <v>25</v>
      </c>
      <c r="Z68" s="156"/>
      <c r="AA68" s="142"/>
      <c r="AB68" s="142">
        <v>100</v>
      </c>
      <c r="AC68" s="143"/>
      <c r="AD68" s="319">
        <f t="shared" si="7"/>
        <v>0</v>
      </c>
      <c r="AE68" s="364"/>
      <c r="AF68" s="368"/>
      <c r="AG68" s="321"/>
      <c r="AH68" s="322">
        <f t="shared" si="6"/>
        <v>0</v>
      </c>
      <c r="AI68" s="371"/>
      <c r="AJ68" s="370"/>
      <c r="AK68" s="370"/>
      <c r="AL68" s="370"/>
      <c r="AM68" s="370"/>
      <c r="AN68" s="370"/>
      <c r="AO68" s="370"/>
      <c r="AP68" s="370"/>
      <c r="AQ68" s="321"/>
    </row>
    <row r="69" spans="1:43" ht="15" customHeight="1">
      <c r="A69" s="320"/>
      <c r="B69" s="320"/>
      <c r="C69" s="320"/>
      <c r="D69" s="320"/>
      <c r="E69" s="320"/>
      <c r="F69" s="320"/>
      <c r="G69" s="320"/>
      <c r="H69" s="320"/>
      <c r="I69" s="320"/>
      <c r="J69" s="320"/>
      <c r="K69" s="320"/>
      <c r="L69" s="320"/>
      <c r="M69" s="320"/>
      <c r="N69" s="320"/>
      <c r="O69" s="320"/>
      <c r="P69" s="320"/>
      <c r="Q69" s="320"/>
      <c r="R69" s="320"/>
      <c r="S69" s="320"/>
      <c r="T69" s="320"/>
      <c r="U69" s="320"/>
      <c r="V69" s="370"/>
      <c r="W69" s="320"/>
      <c r="X69" s="327">
        <f t="shared" si="0"/>
        <v>0</v>
      </c>
      <c r="Y69" s="358" t="s">
        <v>26</v>
      </c>
      <c r="Z69" s="157"/>
      <c r="AA69" s="163"/>
      <c r="AB69" s="163"/>
      <c r="AC69" s="172"/>
      <c r="AD69" s="319">
        <f>-AE69</f>
        <v>0</v>
      </c>
      <c r="AE69" s="143">
        <f>0+0+0+0</f>
        <v>0</v>
      </c>
      <c r="AF69" s="156"/>
      <c r="AG69" s="321"/>
      <c r="AH69" s="322">
        <f t="shared" si="6"/>
        <v>0</v>
      </c>
      <c r="AI69" s="371"/>
      <c r="AJ69" s="370"/>
      <c r="AK69" s="370"/>
      <c r="AL69" s="370"/>
      <c r="AM69" s="370"/>
      <c r="AN69" s="370">
        <f>AE69</f>
        <v>0</v>
      </c>
      <c r="AO69" s="370"/>
      <c r="AP69" s="370"/>
      <c r="AQ69" s="321"/>
    </row>
    <row r="70" spans="1:43" ht="15" customHeight="1">
      <c r="A70" s="320"/>
      <c r="B70" s="320"/>
      <c r="C70" s="320"/>
      <c r="D70" s="320"/>
      <c r="E70" s="320"/>
      <c r="F70" s="320"/>
      <c r="G70" s="320"/>
      <c r="H70" s="320"/>
      <c r="I70" s="320"/>
      <c r="J70" s="320"/>
      <c r="K70" s="320"/>
      <c r="L70" s="320"/>
      <c r="M70" s="320"/>
      <c r="N70" s="320"/>
      <c r="O70" s="320"/>
      <c r="P70" s="320"/>
      <c r="Q70" s="320"/>
      <c r="R70" s="320"/>
      <c r="S70" s="320"/>
      <c r="T70" s="320"/>
      <c r="U70" s="320"/>
      <c r="V70" s="320"/>
      <c r="W70" s="320"/>
      <c r="X70" s="327">
        <f t="shared" si="0"/>
        <v>0</v>
      </c>
      <c r="Y70" s="358" t="s">
        <v>27</v>
      </c>
      <c r="Z70" s="157"/>
      <c r="AA70" s="163"/>
      <c r="AB70" s="163"/>
      <c r="AC70" s="143"/>
      <c r="AD70" s="319"/>
      <c r="AE70" s="143"/>
      <c r="AF70" s="156">
        <f>0-0-0-0</f>
        <v>0</v>
      </c>
      <c r="AG70" s="332"/>
      <c r="AH70" s="322">
        <f t="shared" si="6"/>
        <v>0</v>
      </c>
      <c r="AI70" s="371"/>
      <c r="AJ70" s="370"/>
      <c r="AK70" s="370"/>
      <c r="AL70" s="370"/>
      <c r="AM70" s="370"/>
      <c r="AN70" s="370">
        <f>-AF70</f>
        <v>0</v>
      </c>
      <c r="AO70" s="370"/>
      <c r="AP70" s="370"/>
      <c r="AQ70" s="321"/>
    </row>
    <row r="71" spans="1:43" ht="15" customHeight="1">
      <c r="A71" s="320"/>
      <c r="B71" s="320"/>
      <c r="C71" s="320"/>
      <c r="D71" s="320"/>
      <c r="E71" s="320"/>
      <c r="F71" s="320"/>
      <c r="G71" s="320"/>
      <c r="H71" s="320"/>
      <c r="I71" s="320"/>
      <c r="J71" s="320"/>
      <c r="K71" s="320"/>
      <c r="L71" s="320"/>
      <c r="M71" s="320"/>
      <c r="N71" s="320"/>
      <c r="O71" s="320"/>
      <c r="P71" s="370"/>
      <c r="Q71" s="320"/>
      <c r="R71" s="320"/>
      <c r="S71" s="320"/>
      <c r="T71" s="320"/>
      <c r="U71" s="320"/>
      <c r="V71" s="320"/>
      <c r="W71" s="320"/>
      <c r="X71" s="327">
        <f t="shared" si="0"/>
        <v>0</v>
      </c>
      <c r="Y71" s="356" t="s">
        <v>67</v>
      </c>
      <c r="Z71" s="157"/>
      <c r="AA71" s="163"/>
      <c r="AB71" s="163"/>
      <c r="AC71" s="364">
        <f>100-22.83</f>
        <v>77.17</v>
      </c>
      <c r="AD71" s="319"/>
      <c r="AE71" s="321"/>
      <c r="AF71" s="319">
        <f>-SUM(AF63:AF70)</f>
        <v>0</v>
      </c>
      <c r="AG71" s="321">
        <f>-AF71*AC71/100</f>
        <v>0</v>
      </c>
      <c r="AH71" s="322">
        <f t="shared" si="6"/>
        <v>0</v>
      </c>
      <c r="AI71" s="365">
        <f>AG71*65.2%</f>
        <v>0</v>
      </c>
      <c r="AJ71" s="365">
        <f>AG71*9.9%</f>
        <v>0</v>
      </c>
      <c r="AK71" s="361">
        <f>AG71*13.3%</f>
        <v>0</v>
      </c>
      <c r="AL71" s="361">
        <f>AG71*7%</f>
        <v>0</v>
      </c>
      <c r="AM71" s="361">
        <f>AG71*0%</f>
        <v>0</v>
      </c>
      <c r="AN71" s="361">
        <f>AG71*3.2%</f>
        <v>0</v>
      </c>
      <c r="AO71" s="361">
        <f>AG71*1.5%</f>
        <v>0</v>
      </c>
      <c r="AP71" s="361"/>
      <c r="AQ71" s="321"/>
    </row>
    <row r="72" spans="1:43" ht="15" customHeight="1">
      <c r="A72" s="319"/>
      <c r="B72" s="320"/>
      <c r="C72" s="320"/>
      <c r="D72" s="320"/>
      <c r="E72" s="320"/>
      <c r="F72" s="142"/>
      <c r="G72" s="142"/>
      <c r="H72" s="311">
        <f>1027.7*0.2*(100%-3.1%)</f>
        <v>199.16826</v>
      </c>
      <c r="I72" s="142"/>
      <c r="J72" s="142"/>
      <c r="K72" s="142"/>
      <c r="L72" s="142"/>
      <c r="M72" s="142"/>
      <c r="N72" s="142"/>
      <c r="O72" s="142"/>
      <c r="P72" s="311">
        <f>1027.7*0.2*3.1%</f>
        <v>6.3717400000000008</v>
      </c>
      <c r="Q72" s="320"/>
      <c r="R72" s="320"/>
      <c r="S72" s="320"/>
      <c r="T72" s="320"/>
      <c r="U72" s="320"/>
      <c r="V72" s="320"/>
      <c r="W72" s="320"/>
      <c r="X72" s="327">
        <f t="shared" si="0"/>
        <v>205.54</v>
      </c>
      <c r="Y72" s="356" t="s">
        <v>68</v>
      </c>
      <c r="Z72" s="319"/>
      <c r="AA72" s="320">
        <v>20</v>
      </c>
      <c r="AB72" s="320"/>
      <c r="AC72" s="321"/>
      <c r="AD72" s="319"/>
      <c r="AE72" s="321"/>
      <c r="AF72" s="319"/>
      <c r="AG72" s="321"/>
      <c r="AH72" s="322">
        <f t="shared" si="6"/>
        <v>41.108000000000004</v>
      </c>
      <c r="AI72" s="328"/>
      <c r="AJ72" s="320"/>
      <c r="AK72" s="320"/>
      <c r="AL72" s="320"/>
      <c r="AM72" s="320"/>
      <c r="AN72" s="320"/>
      <c r="AO72" s="320"/>
      <c r="AP72" s="320"/>
      <c r="AQ72" s="321">
        <f>X72*AA72/100</f>
        <v>41.108000000000004</v>
      </c>
    </row>
    <row r="73" spans="1:43" ht="15" customHeight="1">
      <c r="A73" s="319"/>
      <c r="B73" s="320"/>
      <c r="C73" s="320"/>
      <c r="D73" s="320"/>
      <c r="E73" s="320"/>
      <c r="F73" s="311">
        <f>813.1*0.2*(100%-6.7%)</f>
        <v>151.72446000000002</v>
      </c>
      <c r="G73" s="142"/>
      <c r="H73" s="142"/>
      <c r="I73" s="142"/>
      <c r="J73" s="142"/>
      <c r="K73" s="142"/>
      <c r="L73" s="142"/>
      <c r="M73" s="142"/>
      <c r="N73" s="142"/>
      <c r="O73" s="142"/>
      <c r="P73" s="311">
        <f>813.1*0.2*6.7%</f>
        <v>10.89554</v>
      </c>
      <c r="Q73" s="320"/>
      <c r="R73" s="320"/>
      <c r="S73" s="320"/>
      <c r="T73" s="320"/>
      <c r="U73" s="320"/>
      <c r="V73" s="320"/>
      <c r="W73" s="320"/>
      <c r="X73" s="327">
        <f t="shared" si="0"/>
        <v>162.62000000000003</v>
      </c>
      <c r="Y73" s="356" t="s">
        <v>69</v>
      </c>
      <c r="Z73" s="319"/>
      <c r="AA73" s="320">
        <v>25</v>
      </c>
      <c r="AB73" s="320"/>
      <c r="AC73" s="321"/>
      <c r="AD73" s="319"/>
      <c r="AE73" s="321"/>
      <c r="AF73" s="319"/>
      <c r="AG73" s="321"/>
      <c r="AH73" s="322">
        <f t="shared" si="6"/>
        <v>40.655000000000008</v>
      </c>
      <c r="AI73" s="328"/>
      <c r="AJ73" s="320"/>
      <c r="AK73" s="320"/>
      <c r="AL73" s="320"/>
      <c r="AM73" s="320"/>
      <c r="AN73" s="320"/>
      <c r="AO73" s="320"/>
      <c r="AP73" s="320"/>
      <c r="AQ73" s="321">
        <f>X73*AA73/100</f>
        <v>40.655000000000008</v>
      </c>
    </row>
    <row r="74" spans="1:43" ht="15" customHeight="1">
      <c r="A74" s="319"/>
      <c r="B74" s="320"/>
      <c r="C74" s="320"/>
      <c r="D74" s="320"/>
      <c r="E74" s="320"/>
      <c r="F74" s="311">
        <f>327*0.2*(100%-6.7%)</f>
        <v>61.018200000000007</v>
      </c>
      <c r="G74" s="142"/>
      <c r="H74" s="142"/>
      <c r="I74" s="142"/>
      <c r="J74" s="142"/>
      <c r="K74" s="142"/>
      <c r="L74" s="142"/>
      <c r="M74" s="142"/>
      <c r="N74" s="142"/>
      <c r="O74" s="142"/>
      <c r="P74" s="311">
        <f>327*0.2*6.7%</f>
        <v>4.381800000000001</v>
      </c>
      <c r="Q74" s="320"/>
      <c r="R74" s="320"/>
      <c r="S74" s="320"/>
      <c r="T74" s="320"/>
      <c r="U74" s="320"/>
      <c r="V74" s="320"/>
      <c r="W74" s="320"/>
      <c r="X74" s="327">
        <f t="shared" si="0"/>
        <v>65.400000000000006</v>
      </c>
      <c r="Y74" s="356" t="s">
        <v>121</v>
      </c>
      <c r="Z74" s="319"/>
      <c r="AA74" s="320">
        <v>25</v>
      </c>
      <c r="AB74" s="320"/>
      <c r="AC74" s="321"/>
      <c r="AD74" s="319"/>
      <c r="AE74" s="321"/>
      <c r="AF74" s="319"/>
      <c r="AG74" s="321"/>
      <c r="AH74" s="322">
        <f t="shared" si="6"/>
        <v>16.350000000000001</v>
      </c>
      <c r="AI74" s="328"/>
      <c r="AJ74" s="320"/>
      <c r="AK74" s="320"/>
      <c r="AL74" s="320"/>
      <c r="AM74" s="320"/>
      <c r="AN74" s="320"/>
      <c r="AO74" s="320"/>
      <c r="AP74" s="320"/>
      <c r="AQ74" s="321">
        <f>X74*AA74/100</f>
        <v>16.350000000000001</v>
      </c>
    </row>
    <row r="75" spans="1:43" ht="15" customHeight="1">
      <c r="A75" s="319"/>
      <c r="B75" s="320"/>
      <c r="C75" s="320"/>
      <c r="D75" s="320"/>
      <c r="E75" s="320"/>
      <c r="F75" s="311">
        <f>112.7*1.2*(100%-6.7%)</f>
        <v>126.17892000000002</v>
      </c>
      <c r="G75" s="142"/>
      <c r="H75" s="142"/>
      <c r="I75" s="142"/>
      <c r="J75" s="142"/>
      <c r="K75" s="142"/>
      <c r="L75" s="142"/>
      <c r="M75" s="142"/>
      <c r="N75" s="142"/>
      <c r="O75" s="142"/>
      <c r="P75" s="311">
        <f>112.7*1.2*6.7%</f>
        <v>9.0610800000000005</v>
      </c>
      <c r="Q75" s="320"/>
      <c r="R75" s="320"/>
      <c r="S75" s="320"/>
      <c r="T75" s="320"/>
      <c r="U75" s="320"/>
      <c r="V75" s="320"/>
      <c r="W75" s="320"/>
      <c r="X75" s="327">
        <f t="shared" si="0"/>
        <v>135.24</v>
      </c>
      <c r="Y75" s="356" t="s">
        <v>9</v>
      </c>
      <c r="Z75" s="319"/>
      <c r="AA75" s="320">
        <v>33</v>
      </c>
      <c r="AB75" s="320"/>
      <c r="AC75" s="321"/>
      <c r="AD75" s="319"/>
      <c r="AE75" s="321"/>
      <c r="AF75" s="319"/>
      <c r="AG75" s="321"/>
      <c r="AH75" s="322">
        <f t="shared" si="6"/>
        <v>44.629199999999997</v>
      </c>
      <c r="AI75" s="328"/>
      <c r="AJ75" s="320"/>
      <c r="AK75" s="320"/>
      <c r="AL75" s="320"/>
      <c r="AM75" s="320"/>
      <c r="AN75" s="320"/>
      <c r="AO75" s="320"/>
      <c r="AP75" s="320"/>
      <c r="AQ75" s="321">
        <f>X75*AA75/100</f>
        <v>44.629199999999997</v>
      </c>
    </row>
    <row r="76" spans="1:43" ht="15" customHeight="1">
      <c r="A76" s="319"/>
      <c r="B76" s="320"/>
      <c r="C76" s="320"/>
      <c r="D76" s="320"/>
      <c r="E76" s="320"/>
      <c r="F76" s="311">
        <f>280.3*1.2*(100%-6.7%)</f>
        <v>313.82388000000003</v>
      </c>
      <c r="G76" s="142"/>
      <c r="H76" s="142"/>
      <c r="I76" s="142"/>
      <c r="J76" s="142"/>
      <c r="K76" s="142"/>
      <c r="L76" s="142"/>
      <c r="M76" s="142"/>
      <c r="N76" s="142"/>
      <c r="O76" s="142"/>
      <c r="P76" s="311">
        <f>280.3*1.2*6.7%</f>
        <v>22.536120000000004</v>
      </c>
      <c r="Q76" s="320"/>
      <c r="R76" s="320"/>
      <c r="S76" s="320"/>
      <c r="T76" s="320"/>
      <c r="U76" s="320"/>
      <c r="V76" s="320"/>
      <c r="W76" s="320"/>
      <c r="X76" s="321">
        <f>SUM(A76:W76)</f>
        <v>336.36</v>
      </c>
      <c r="Y76" s="356" t="s">
        <v>70</v>
      </c>
      <c r="Z76" s="319"/>
      <c r="AA76" s="320">
        <v>33</v>
      </c>
      <c r="AB76" s="320"/>
      <c r="AC76" s="321"/>
      <c r="AD76" s="319"/>
      <c r="AE76" s="321"/>
      <c r="AF76" s="319"/>
      <c r="AG76" s="321"/>
      <c r="AH76" s="322">
        <f t="shared" si="6"/>
        <v>110.99880000000002</v>
      </c>
      <c r="AI76" s="328"/>
      <c r="AJ76" s="320"/>
      <c r="AK76" s="320"/>
      <c r="AL76" s="320"/>
      <c r="AM76" s="320"/>
      <c r="AN76" s="320"/>
      <c r="AO76" s="320"/>
      <c r="AP76" s="320"/>
      <c r="AQ76" s="321">
        <f>X76*AA76/100</f>
        <v>110.99880000000002</v>
      </c>
    </row>
    <row r="77" spans="1:43" ht="15" customHeight="1">
      <c r="A77" s="319"/>
      <c r="B77" s="320"/>
      <c r="C77" s="320"/>
      <c r="D77" s="320"/>
      <c r="E77" s="320"/>
      <c r="F77" s="361">
        <v>266.8</v>
      </c>
      <c r="G77" s="142"/>
      <c r="H77" s="142"/>
      <c r="I77" s="142"/>
      <c r="J77" s="142"/>
      <c r="K77" s="142"/>
      <c r="L77" s="142"/>
      <c r="M77" s="142"/>
      <c r="N77" s="142"/>
      <c r="O77" s="142"/>
      <c r="P77" s="142"/>
      <c r="Q77" s="320"/>
      <c r="R77" s="320"/>
      <c r="S77" s="320"/>
      <c r="T77" s="320"/>
      <c r="U77" s="320"/>
      <c r="V77" s="320"/>
      <c r="W77" s="320"/>
      <c r="X77" s="321">
        <f>SUM(A77:W77)</f>
        <v>266.8</v>
      </c>
      <c r="Y77" s="356" t="s">
        <v>10</v>
      </c>
      <c r="Z77" s="319"/>
      <c r="AA77" s="320">
        <v>33</v>
      </c>
      <c r="AB77" s="320"/>
      <c r="AC77" s="321"/>
      <c r="AD77" s="319"/>
      <c r="AE77" s="321"/>
      <c r="AF77" s="319"/>
      <c r="AG77" s="321"/>
      <c r="AH77" s="322">
        <f t="shared" si="6"/>
        <v>88.044000000000011</v>
      </c>
      <c r="AI77" s="328"/>
      <c r="AJ77" s="320"/>
      <c r="AK77" s="320"/>
      <c r="AL77" s="320"/>
      <c r="AM77" s="320"/>
      <c r="AN77" s="320"/>
      <c r="AO77" s="320"/>
      <c r="AP77" s="320">
        <f>X77*AA77%</f>
        <v>88.044000000000011</v>
      </c>
      <c r="AQ77" s="321"/>
    </row>
    <row r="78" spans="1:43" ht="15" customHeight="1">
      <c r="A78" s="333"/>
      <c r="B78" s="334"/>
      <c r="C78" s="334"/>
      <c r="D78" s="377"/>
      <c r="E78" s="377"/>
      <c r="F78" s="313">
        <f>51.5*0</f>
        <v>0</v>
      </c>
      <c r="G78" s="377"/>
      <c r="H78" s="377"/>
      <c r="I78" s="377"/>
      <c r="J78" s="377"/>
      <c r="K78" s="334"/>
      <c r="L78" s="334"/>
      <c r="M78" s="334"/>
      <c r="N78" s="334"/>
      <c r="O78" s="334"/>
      <c r="P78" s="334"/>
      <c r="Q78" s="334"/>
      <c r="R78" s="334"/>
      <c r="S78" s="334"/>
      <c r="T78" s="334"/>
      <c r="U78" s="334"/>
      <c r="V78" s="334"/>
      <c r="W78" s="334"/>
      <c r="X78" s="321">
        <f>SUM(A78:W78)</f>
        <v>0</v>
      </c>
      <c r="Y78" s="359" t="s">
        <v>32</v>
      </c>
      <c r="Z78" s="333"/>
      <c r="AA78" s="320">
        <v>33</v>
      </c>
      <c r="AB78" s="334"/>
      <c r="AC78" s="336"/>
      <c r="AD78" s="319">
        <f>-AE78/$D$2%</f>
        <v>0</v>
      </c>
      <c r="AE78" s="378"/>
      <c r="AF78" s="333"/>
      <c r="AG78" s="336"/>
      <c r="AH78" s="322">
        <f t="shared" si="6"/>
        <v>0</v>
      </c>
      <c r="AI78" s="337"/>
      <c r="AJ78" s="334"/>
      <c r="AK78" s="334"/>
      <c r="AL78" s="334"/>
      <c r="AM78" s="334"/>
      <c r="AN78" s="334"/>
      <c r="AO78" s="334"/>
      <c r="AP78" s="334"/>
      <c r="AQ78" s="321">
        <f>X78*AA78/100+AE78*AA78%</f>
        <v>0</v>
      </c>
    </row>
    <row r="79" spans="1:43" ht="15" customHeight="1">
      <c r="A79" s="333"/>
      <c r="B79" s="334"/>
      <c r="C79" s="334"/>
      <c r="D79" s="377"/>
      <c r="E79" s="377"/>
      <c r="F79" s="377"/>
      <c r="G79" s="313">
        <f>760.2*1.2</f>
        <v>912.24</v>
      </c>
      <c r="H79" s="311">
        <f>0.8*1.2</f>
        <v>0.96</v>
      </c>
      <c r="I79" s="377"/>
      <c r="J79" s="377"/>
      <c r="K79" s="334"/>
      <c r="L79" s="334"/>
      <c r="M79" s="334"/>
      <c r="N79" s="334"/>
      <c r="O79" s="334"/>
      <c r="P79" s="334"/>
      <c r="Q79" s="334"/>
      <c r="R79" s="334"/>
      <c r="S79" s="334"/>
      <c r="T79" s="334"/>
      <c r="U79" s="334"/>
      <c r="V79" s="334"/>
      <c r="W79" s="334"/>
      <c r="X79" s="321">
        <f>SUM(A79:W79)</f>
        <v>913.2</v>
      </c>
      <c r="Y79" s="359" t="s">
        <v>33</v>
      </c>
      <c r="Z79" s="333"/>
      <c r="AA79" s="320">
        <v>33</v>
      </c>
      <c r="AB79" s="334"/>
      <c r="AC79" s="336"/>
      <c r="AD79" s="333"/>
      <c r="AE79" s="336"/>
      <c r="AF79" s="333"/>
      <c r="AG79" s="336"/>
      <c r="AH79" s="322">
        <f t="shared" si="6"/>
        <v>301.35599999999999</v>
      </c>
      <c r="AI79" s="337"/>
      <c r="AJ79" s="334"/>
      <c r="AK79" s="334"/>
      <c r="AL79" s="334"/>
      <c r="AM79" s="334"/>
      <c r="AN79" s="334"/>
      <c r="AO79" s="334"/>
      <c r="AP79" s="334"/>
      <c r="AQ79" s="321">
        <f>X79*AA79/100</f>
        <v>301.35599999999999</v>
      </c>
    </row>
    <row r="80" spans="1:43" ht="15" customHeight="1" thickBot="1">
      <c r="A80" s="333"/>
      <c r="B80" s="334"/>
      <c r="C80" s="334"/>
      <c r="D80" s="313">
        <f>0.1*0.95</f>
        <v>9.5000000000000001E-2</v>
      </c>
      <c r="E80" s="377"/>
      <c r="F80" s="313">
        <f>108.6*0.95</f>
        <v>103.16999999999999</v>
      </c>
      <c r="G80" s="377"/>
      <c r="H80" s="377"/>
      <c r="I80" s="377"/>
      <c r="J80" s="377"/>
      <c r="K80" s="334"/>
      <c r="L80" s="334"/>
      <c r="M80" s="334"/>
      <c r="N80" s="334"/>
      <c r="O80" s="334"/>
      <c r="P80" s="334"/>
      <c r="Q80" s="334"/>
      <c r="R80" s="334"/>
      <c r="S80" s="334"/>
      <c r="T80" s="334"/>
      <c r="U80" s="334"/>
      <c r="V80" s="334"/>
      <c r="W80" s="334"/>
      <c r="X80" s="336">
        <f t="shared" si="0"/>
        <v>103.26499999999999</v>
      </c>
      <c r="Y80" s="360" t="s">
        <v>11</v>
      </c>
      <c r="Z80" s="338"/>
      <c r="AA80" s="320">
        <v>33</v>
      </c>
      <c r="AB80" s="339"/>
      <c r="AC80" s="340"/>
      <c r="AD80" s="338"/>
      <c r="AE80" s="340"/>
      <c r="AF80" s="338"/>
      <c r="AG80" s="340"/>
      <c r="AH80" s="341">
        <f t="shared" si="6"/>
        <v>34.077449999999992</v>
      </c>
      <c r="AI80" s="342"/>
      <c r="AJ80" s="339"/>
      <c r="AK80" s="339"/>
      <c r="AL80" s="339"/>
      <c r="AM80" s="339"/>
      <c r="AN80" s="339"/>
      <c r="AO80" s="339"/>
      <c r="AP80" s="339"/>
      <c r="AQ80" s="321">
        <f>X80*AA80/100</f>
        <v>34.077449999999992</v>
      </c>
    </row>
    <row r="81" spans="1:44" ht="15" customHeight="1" thickBot="1">
      <c r="A81" s="343">
        <f t="shared" ref="A81:W81" si="8">SUM(A8:A80)</f>
        <v>-474.44595351550436</v>
      </c>
      <c r="B81" s="344">
        <f t="shared" si="8"/>
        <v>43</v>
      </c>
      <c r="C81" s="344">
        <f t="shared" si="8"/>
        <v>8.370000000000001</v>
      </c>
      <c r="D81" s="344">
        <f t="shared" si="8"/>
        <v>9.5000000000000001E-2</v>
      </c>
      <c r="E81" s="344">
        <f t="shared" si="8"/>
        <v>37.14</v>
      </c>
      <c r="F81" s="344">
        <f t="shared" si="8"/>
        <v>1022.71546</v>
      </c>
      <c r="G81" s="344">
        <f t="shared" si="8"/>
        <v>912.24</v>
      </c>
      <c r="H81" s="344">
        <f t="shared" si="8"/>
        <v>200.12826000000001</v>
      </c>
      <c r="I81" s="344">
        <f t="shared" si="8"/>
        <v>1041.8837999999998</v>
      </c>
      <c r="J81" s="344">
        <f t="shared" si="8"/>
        <v>2195.6</v>
      </c>
      <c r="K81" s="344">
        <f t="shared" si="8"/>
        <v>0</v>
      </c>
      <c r="L81" s="344">
        <f t="shared" si="8"/>
        <v>237.26000000000002</v>
      </c>
      <c r="M81" s="344">
        <f t="shared" si="8"/>
        <v>0</v>
      </c>
      <c r="N81" s="344">
        <f t="shared" si="8"/>
        <v>273</v>
      </c>
      <c r="O81" s="344">
        <f t="shared" si="8"/>
        <v>3.1463999999999999</v>
      </c>
      <c r="P81" s="344">
        <f t="shared" si="8"/>
        <v>73.226280000000003</v>
      </c>
      <c r="Q81" s="344">
        <f t="shared" si="8"/>
        <v>171.9</v>
      </c>
      <c r="R81" s="344">
        <f t="shared" si="8"/>
        <v>2049.6600000000003</v>
      </c>
      <c r="S81" s="344">
        <f t="shared" si="8"/>
        <v>927.1400000000001</v>
      </c>
      <c r="T81" s="344">
        <f t="shared" si="8"/>
        <v>3.6936</v>
      </c>
      <c r="U81" s="344">
        <f t="shared" si="8"/>
        <v>0</v>
      </c>
      <c r="V81" s="344">
        <f t="shared" si="8"/>
        <v>20.790000000000003</v>
      </c>
      <c r="W81" s="344">
        <f t="shared" si="8"/>
        <v>0</v>
      </c>
      <c r="X81" s="345">
        <f>SUM(X8:X80)</f>
        <v>8746.5428464844954</v>
      </c>
      <c r="Y81" s="346" t="s">
        <v>2</v>
      </c>
      <c r="Z81" s="347"/>
      <c r="AA81" s="347"/>
      <c r="AB81" s="347"/>
      <c r="AC81" s="347"/>
      <c r="AD81" s="343">
        <f t="shared" ref="AD81:AQ81" si="9">SUM(AD8:AD80)</f>
        <v>5.1603166184577276E-13</v>
      </c>
      <c r="AE81" s="345">
        <f t="shared" si="9"/>
        <v>2183.9872546080092</v>
      </c>
      <c r="AF81" s="343">
        <f t="shared" si="9"/>
        <v>0</v>
      </c>
      <c r="AG81" s="345">
        <f t="shared" si="9"/>
        <v>1587.1662368608602</v>
      </c>
      <c r="AH81" s="346">
        <f t="shared" si="9"/>
        <v>5863.016651340793</v>
      </c>
      <c r="AI81" s="348">
        <f t="shared" si="9"/>
        <v>2749.9335424893707</v>
      </c>
      <c r="AJ81" s="344">
        <f t="shared" si="9"/>
        <v>284.26697438478487</v>
      </c>
      <c r="AK81" s="344">
        <f t="shared" si="9"/>
        <v>311.85927054938628</v>
      </c>
      <c r="AL81" s="344">
        <f t="shared" si="9"/>
        <v>257.82135867893527</v>
      </c>
      <c r="AM81" s="344">
        <f t="shared" si="9"/>
        <v>12.772946267896687</v>
      </c>
      <c r="AN81" s="344">
        <f t="shared" si="9"/>
        <v>1024.3978596293589</v>
      </c>
      <c r="AO81" s="344">
        <f t="shared" si="9"/>
        <v>24.832548585580721</v>
      </c>
      <c r="AP81" s="344">
        <f t="shared" si="9"/>
        <v>159.18970075547767</v>
      </c>
      <c r="AQ81" s="345">
        <f t="shared" si="9"/>
        <v>1037.94245</v>
      </c>
    </row>
    <row r="82" spans="1:44" ht="15" customHeight="1">
      <c r="A82" s="324">
        <f t="shared" ref="A82:V82" si="10">A81*A89/1000</f>
        <v>0</v>
      </c>
      <c r="B82" s="326">
        <f t="shared" si="10"/>
        <v>2.7133000000000003</v>
      </c>
      <c r="C82" s="326">
        <f t="shared" si="10"/>
        <v>0.79473150000000015</v>
      </c>
      <c r="D82" s="326">
        <f t="shared" si="10"/>
        <v>7.4898000000000005E-3</v>
      </c>
      <c r="E82" s="326">
        <f t="shared" si="10"/>
        <v>2.7483599999999999</v>
      </c>
      <c r="F82" s="326">
        <f t="shared" si="10"/>
        <v>75.68094404</v>
      </c>
      <c r="G82" s="326">
        <f t="shared" si="10"/>
        <v>65.681280000000001</v>
      </c>
      <c r="H82" s="326">
        <f t="shared" si="10"/>
        <v>14.609362980000002</v>
      </c>
      <c r="I82" s="326">
        <f t="shared" si="10"/>
        <v>59.387376599999989</v>
      </c>
      <c r="J82" s="326">
        <f t="shared" si="10"/>
        <v>0</v>
      </c>
      <c r="K82" s="326">
        <f t="shared" si="10"/>
        <v>0</v>
      </c>
      <c r="L82" s="326">
        <f t="shared" si="10"/>
        <v>0</v>
      </c>
      <c r="M82" s="326">
        <f t="shared" si="10"/>
        <v>0</v>
      </c>
      <c r="N82" s="326">
        <v>0</v>
      </c>
      <c r="O82" s="326">
        <f t="shared" si="10"/>
        <v>0</v>
      </c>
      <c r="P82" s="326">
        <f t="shared" si="10"/>
        <v>0</v>
      </c>
      <c r="Q82" s="326">
        <f t="shared" si="10"/>
        <v>0</v>
      </c>
      <c r="R82" s="326">
        <f t="shared" si="10"/>
        <v>0</v>
      </c>
      <c r="S82" s="326">
        <f t="shared" si="10"/>
        <v>0</v>
      </c>
      <c r="T82" s="326">
        <f t="shared" si="10"/>
        <v>0</v>
      </c>
      <c r="U82" s="326">
        <f t="shared" si="10"/>
        <v>0</v>
      </c>
      <c r="V82" s="326">
        <f t="shared" si="10"/>
        <v>0</v>
      </c>
      <c r="W82" s="326">
        <f>W81*W89/1000</f>
        <v>0</v>
      </c>
      <c r="X82" s="327">
        <f>SUM(A82:W82)</f>
        <v>221.62284491999998</v>
      </c>
      <c r="Y82" s="21" t="s">
        <v>221</v>
      </c>
      <c r="Z82" s="217">
        <f>X82*1000/D1</f>
        <v>1.9416755293499208</v>
      </c>
      <c r="AA82" s="218" t="s">
        <v>12</v>
      </c>
      <c r="AB82" s="218"/>
      <c r="AC82" s="219"/>
      <c r="AD82" s="81"/>
      <c r="AE82" s="81"/>
      <c r="AF82" s="81"/>
      <c r="AG82" s="81"/>
      <c r="AH82" s="81"/>
      <c r="AI82" s="81"/>
      <c r="AJ82" s="81"/>
      <c r="AK82" s="81"/>
      <c r="AL82" s="81"/>
      <c r="AM82" s="81"/>
      <c r="AN82" s="81"/>
      <c r="AO82" s="81"/>
      <c r="AP82" s="81"/>
      <c r="AQ82" s="81"/>
    </row>
    <row r="83" spans="1:44" ht="15" customHeight="1">
      <c r="A83" s="319"/>
      <c r="B83" s="320"/>
      <c r="C83" s="320"/>
      <c r="D83" s="320"/>
      <c r="E83" s="320"/>
      <c r="F83" s="320"/>
      <c r="G83" s="320"/>
      <c r="H83" s="320"/>
      <c r="I83" s="320"/>
      <c r="J83" s="320"/>
      <c r="K83" s="320"/>
      <c r="L83" s="320"/>
      <c r="M83" s="320"/>
      <c r="N83" s="320"/>
      <c r="O83" s="361">
        <v>263</v>
      </c>
      <c r="P83" s="361">
        <v>956</v>
      </c>
      <c r="Q83" s="361">
        <v>946</v>
      </c>
      <c r="R83" s="361">
        <v>438</v>
      </c>
      <c r="S83" s="320"/>
      <c r="T83" s="320"/>
      <c r="U83" s="320"/>
      <c r="V83" s="320"/>
      <c r="W83" s="320"/>
      <c r="X83" s="321">
        <f>SUM(A83:W83)</f>
        <v>2603</v>
      </c>
      <c r="Y83" s="108" t="s">
        <v>35</v>
      </c>
      <c r="Z83" s="220">
        <f>(SUM(J14:V14)+AD15*A87%+SUM(J19:V19)+SUM(J20:V20)+SUM(J21:V21)+SUM(J22:V22)+SUM(J25:V25)+SUM(J72:V72)+SUM(J73:V73)+SUM(J74:V74)+SUM(J75:V75)+SUM(J76:V76)+SUM(J77:V77)+SUM(J78:V78)+SUM(J79:V79)+SUM(J80:V80)+SUM(J26:V26)*(Z26%+AB26%)+SUM(J27:V27)*(Z27%+AB27%)+SUM(J28:V28)*(Z28%+AB28%)+SUM(J29:V29)*(Z29%+AB29%)+SUM(J30:V30)*(Z30%+AB30%)+SUM(J32:V32)*(Z32%+AA32%+AB32%)+SUM(J31:V31)*(AA31%)+SUM(J33:V33)*(Z33%+AB33%)+SUM(J34:V34)*(Z34%+AB34%)+SUM(J35:V35)*(Z35%+AB35%)+SUM(J36:V36)*(Z36%+AB36%)+SUM(J37:V37)+SUM(J40:V40)*(Z40%+AB40%)+SUM(J41:V41)*(Z41%+AB41%)+SUM(J42:V42)*(Z42%+AB42%)+SUM(J44:V44)*(Z44%+AB44%)+SUM(J45:V45)*(Z45%+AB45%)+SUM(J46:V46)*(Z46%+AB46%)+SUM(J47:V47)*(Z47%+AB47%)+SUM(J48:V48)+SUM(J50:V50)*(Z50%+AB50%)+SUM(J51:V51)*(Z51%+AB51%)+SUM(J53:V53)*(Z53%+AA53%+AB53%)+SUM(J54:V54)*(Z54%+AA54%+AB54%)+SUM(J56:V56)*(Z56%+AB56%)+SUM(J57:V57)+SUM(J59:V59)*(Z59%+AB59%)+SUM(J60:V60)*(Z60%+AB60%)+SUM(J61:V61)*(Z61%+AB61%)+SUM(J63:V63)*(Z63%+AB63%)+SUM(J64:V64)*(Z64%+AB64%)+SUM(J65:V65)*(Z65%+AB65%)+SUM(J66:V66)*(Z66%+AB66%)+SUM(J67:V67)*(Z67%+AB67%)+SUM(J68:V68)*(Z68%+AB68%))/(SUM(X8:X14)+SUM(X16:X25)+X32*AA32%+X53*AA53%+X54*AA54%+SUM(X72:X80)+(AG39/AC39%+AG43/AC43%+AG52/AC52%+AG55/AC55%+AG62/AC62%+AG71/AC71%)+AE81+SUM(AE8:AE14)*(1-D2%)+(-AF70))*100</f>
        <v>62.49792485328728</v>
      </c>
      <c r="AA83" s="221" t="s">
        <v>210</v>
      </c>
      <c r="AB83" s="221"/>
      <c r="AC83" s="222"/>
      <c r="AD83" s="81"/>
      <c r="AE83" s="81"/>
      <c r="AF83" s="81"/>
      <c r="AG83" s="81"/>
      <c r="AH83" s="81"/>
      <c r="AI83" s="81"/>
      <c r="AJ83" s="81"/>
      <c r="AK83" s="81"/>
      <c r="AL83" s="81"/>
      <c r="AM83" s="81"/>
      <c r="AN83" s="81"/>
      <c r="AO83" s="81"/>
      <c r="AP83" s="81"/>
      <c r="AQ83" s="81"/>
    </row>
    <row r="84" spans="1:44" ht="15" customHeight="1" thickBot="1">
      <c r="A84" s="338"/>
      <c r="B84" s="339"/>
      <c r="C84" s="339"/>
      <c r="D84" s="339"/>
      <c r="E84" s="339"/>
      <c r="F84" s="339"/>
      <c r="G84" s="339"/>
      <c r="H84" s="339"/>
      <c r="I84" s="339"/>
      <c r="J84" s="339" t="str">
        <f>IF(J83&gt;0,J81/J83*100,"")</f>
        <v/>
      </c>
      <c r="K84" s="339" t="str">
        <f t="shared" ref="K84:W84" si="11">IF(K83&gt;0,K81/K83*100,"")</f>
        <v/>
      </c>
      <c r="L84" s="339" t="str">
        <f t="shared" si="11"/>
        <v/>
      </c>
      <c r="M84" s="339" t="str">
        <f t="shared" si="11"/>
        <v/>
      </c>
      <c r="N84" s="339" t="str">
        <f t="shared" si="11"/>
        <v/>
      </c>
      <c r="O84" s="339">
        <f t="shared" si="11"/>
        <v>1.1963498098859315</v>
      </c>
      <c r="P84" s="339">
        <f t="shared" si="11"/>
        <v>7.6596527196652717</v>
      </c>
      <c r="Q84" s="339">
        <f t="shared" si="11"/>
        <v>18.171247357293868</v>
      </c>
      <c r="R84" s="339">
        <f t="shared" si="11"/>
        <v>467.95890410958913</v>
      </c>
      <c r="S84" s="339" t="str">
        <f t="shared" si="11"/>
        <v/>
      </c>
      <c r="T84" s="339" t="str">
        <f t="shared" si="11"/>
        <v/>
      </c>
      <c r="U84" s="339" t="str">
        <f t="shared" si="11"/>
        <v/>
      </c>
      <c r="V84" s="339" t="str">
        <f>IF(V83&gt;0,V81/V83*100,"")</f>
        <v/>
      </c>
      <c r="W84" s="339" t="str">
        <f t="shared" si="11"/>
        <v/>
      </c>
      <c r="X84" s="340">
        <f>SUMIF(J83:W83,"&gt;0",J81:W81)/SUM(J83:W83)%</f>
        <v>88.280164425662704</v>
      </c>
      <c r="Y84" s="109" t="s">
        <v>38</v>
      </c>
      <c r="Z84" s="118">
        <f>SUM(J81:V81)/X81*100</f>
        <v>68.08880245060098</v>
      </c>
      <c r="AA84" s="94" t="s">
        <v>252</v>
      </c>
      <c r="AB84" s="94"/>
      <c r="AC84" s="119"/>
      <c r="AD84" s="81"/>
      <c r="AE84" s="81"/>
      <c r="AF84" s="81"/>
      <c r="AG84" s="81"/>
      <c r="AH84" s="81"/>
      <c r="AI84" s="81"/>
      <c r="AJ84" s="81"/>
      <c r="AK84" s="81"/>
      <c r="AL84" s="81"/>
      <c r="AM84" s="81"/>
      <c r="AN84" s="81"/>
      <c r="AO84" s="81"/>
      <c r="AP84" s="81"/>
      <c r="AQ84" s="81"/>
    </row>
    <row r="85" spans="1:44" ht="15" customHeight="1" thickBot="1">
      <c r="A85" s="16"/>
      <c r="B85" s="16"/>
      <c r="C85" s="16"/>
      <c r="D85" s="16"/>
      <c r="E85" s="16"/>
      <c r="F85" s="16"/>
      <c r="G85" s="16"/>
      <c r="H85" s="16"/>
      <c r="I85" s="16"/>
      <c r="J85" s="16"/>
      <c r="K85" s="16"/>
      <c r="L85" s="16"/>
      <c r="M85" s="16"/>
      <c r="N85" s="16"/>
      <c r="O85" s="16"/>
      <c r="P85" s="16"/>
      <c r="Q85" s="16"/>
      <c r="R85" s="16"/>
      <c r="S85" s="16"/>
      <c r="T85" s="16"/>
      <c r="U85" s="16"/>
      <c r="V85" s="16"/>
      <c r="W85" s="16"/>
      <c r="X85" s="16"/>
      <c r="Y85" s="4"/>
      <c r="Z85" s="16"/>
      <c r="AA85" s="16"/>
      <c r="AB85" s="16"/>
      <c r="AC85" s="16"/>
      <c r="AD85" s="16"/>
      <c r="AE85" s="16"/>
      <c r="AF85" s="16"/>
      <c r="AG85" s="16"/>
      <c r="AH85" s="16"/>
      <c r="AI85" s="16"/>
      <c r="AJ85" s="16"/>
      <c r="AK85" s="16"/>
      <c r="AL85" s="16"/>
      <c r="AM85" s="16"/>
      <c r="AN85" s="16"/>
      <c r="AO85" s="16"/>
      <c r="AP85" s="16"/>
      <c r="AQ85" s="16"/>
    </row>
    <row r="86" spans="1:44" ht="17.25" customHeight="1">
      <c r="A86" s="234" t="s">
        <v>122</v>
      </c>
      <c r="B86" s="431" t="str">
        <f t="shared" ref="B86:W86" si="12">B7</f>
        <v xml:space="preserve">  LPG og petroleum</v>
      </c>
      <c r="C86" s="431" t="str">
        <f t="shared" si="12"/>
        <v xml:space="preserve">  Kul</v>
      </c>
      <c r="D86" s="431" t="str">
        <f t="shared" si="12"/>
        <v xml:space="preserve">  Fuelolie</v>
      </c>
      <c r="E86" s="431" t="str">
        <f t="shared" si="12"/>
        <v xml:space="preserve">  Brændselsolie</v>
      </c>
      <c r="F86" s="431" t="str">
        <f t="shared" si="12"/>
        <v xml:space="preserve">  Dieselolie</v>
      </c>
      <c r="G86" s="431" t="str">
        <f t="shared" si="12"/>
        <v xml:space="preserve">  JP1</v>
      </c>
      <c r="H86" s="431" t="str">
        <f t="shared" si="12"/>
        <v xml:space="preserve">  Benzin</v>
      </c>
      <c r="I86" s="431" t="str">
        <f t="shared" si="12"/>
        <v xml:space="preserve">  Naturgas</v>
      </c>
      <c r="J86" s="431" t="str">
        <f t="shared" si="12"/>
        <v xml:space="preserve">  Vindenergi</v>
      </c>
      <c r="K86" s="431" t="str">
        <f t="shared" si="12"/>
        <v xml:space="preserve">  Vandenergi</v>
      </c>
      <c r="L86" s="431" t="str">
        <f t="shared" si="12"/>
        <v xml:space="preserve">  Solenergi</v>
      </c>
      <c r="M86" s="431" t="str">
        <f t="shared" si="12"/>
        <v xml:space="preserve">  Geotermi</v>
      </c>
      <c r="N86" s="431" t="str">
        <f t="shared" si="12"/>
        <v xml:space="preserve">  Varmekilder til varmepumper</v>
      </c>
      <c r="O86" s="431" t="str">
        <f t="shared" si="12"/>
        <v xml:space="preserve">  Husdyrsgødning</v>
      </c>
      <c r="P86" s="431" t="str">
        <f t="shared" si="12"/>
        <v xml:space="preserve">  Biobrændstof og energiafgrøder</v>
      </c>
      <c r="Q86" s="431" t="str">
        <f t="shared" si="12"/>
        <v xml:space="preserve">  Halm</v>
      </c>
      <c r="R86" s="431" t="str">
        <f t="shared" si="12"/>
        <v xml:space="preserve">  Brænde og træflis</v>
      </c>
      <c r="S86" s="431" t="str">
        <f t="shared" si="12"/>
        <v xml:space="preserve">  Træpiller og træaffald</v>
      </c>
      <c r="T86" s="431" t="str">
        <f t="shared" si="12"/>
        <v xml:space="preserve">  Organisk affald, industri</v>
      </c>
      <c r="U86" s="431" t="str">
        <f t="shared" si="12"/>
        <v xml:space="preserve">  Organisk affald, husholdninger</v>
      </c>
      <c r="V86" s="431" t="str">
        <f t="shared" si="12"/>
        <v xml:space="preserve">  Deponi, slam, renseanlæg</v>
      </c>
      <c r="W86" s="435" t="str">
        <f t="shared" si="12"/>
        <v xml:space="preserve">  Affald, ikke bionedbrydeligt</v>
      </c>
      <c r="X86" s="16"/>
      <c r="Y86" s="4"/>
      <c r="Z86" s="16"/>
      <c r="AA86" s="16"/>
      <c r="AB86" s="16"/>
      <c r="AC86" s="16"/>
      <c r="AD86" s="16"/>
      <c r="AE86" s="16"/>
      <c r="AF86" s="16"/>
      <c r="AG86" s="16"/>
      <c r="AH86" s="16"/>
      <c r="AI86" s="16"/>
      <c r="AJ86" s="16"/>
      <c r="AK86" s="16"/>
      <c r="AL86" s="16"/>
      <c r="AM86" s="16"/>
      <c r="AN86" s="16"/>
      <c r="AO86" s="16"/>
      <c r="AP86" s="16"/>
      <c r="AQ86" s="16"/>
    </row>
    <row r="87" spans="1:44" ht="21.6">
      <c r="A87" s="235">
        <v>100</v>
      </c>
      <c r="B87" s="432"/>
      <c r="C87" s="432"/>
      <c r="D87" s="432"/>
      <c r="E87" s="432"/>
      <c r="F87" s="432"/>
      <c r="G87" s="432"/>
      <c r="H87" s="432"/>
      <c r="I87" s="432"/>
      <c r="J87" s="432"/>
      <c r="K87" s="432"/>
      <c r="L87" s="432"/>
      <c r="M87" s="432"/>
      <c r="N87" s="432"/>
      <c r="O87" s="432"/>
      <c r="P87" s="432"/>
      <c r="Q87" s="432"/>
      <c r="R87" s="432"/>
      <c r="S87" s="432"/>
      <c r="T87" s="432"/>
      <c r="U87" s="432"/>
      <c r="V87" s="432"/>
      <c r="W87" s="436"/>
      <c r="X87" s="16"/>
      <c r="Y87" s="4"/>
      <c r="Z87" s="16"/>
      <c r="AA87" s="16"/>
      <c r="AB87" s="16"/>
      <c r="AC87" s="16"/>
      <c r="AD87" s="16"/>
      <c r="AE87" s="16"/>
      <c r="AF87" s="16"/>
      <c r="AG87" s="16"/>
      <c r="AH87" s="16"/>
      <c r="AI87" s="16"/>
      <c r="AJ87" s="16"/>
      <c r="AK87" s="16"/>
      <c r="AL87" s="16"/>
      <c r="AM87" s="16"/>
      <c r="AN87" s="16"/>
      <c r="AO87" s="16"/>
      <c r="AP87" s="16"/>
      <c r="AQ87" s="16"/>
    </row>
    <row r="88" spans="1:44" ht="123" customHeight="1" thickBot="1">
      <c r="A88" s="236" t="s">
        <v>123</v>
      </c>
      <c r="B88" s="433"/>
      <c r="C88" s="433"/>
      <c r="D88" s="433"/>
      <c r="E88" s="433"/>
      <c r="F88" s="433"/>
      <c r="G88" s="433"/>
      <c r="H88" s="433"/>
      <c r="I88" s="433"/>
      <c r="J88" s="433"/>
      <c r="K88" s="433"/>
      <c r="L88" s="433"/>
      <c r="M88" s="433"/>
      <c r="N88" s="433"/>
      <c r="O88" s="433"/>
      <c r="P88" s="433"/>
      <c r="Q88" s="433"/>
      <c r="R88" s="433"/>
      <c r="S88" s="433"/>
      <c r="T88" s="433"/>
      <c r="U88" s="433"/>
      <c r="V88" s="433"/>
      <c r="W88" s="437"/>
      <c r="X88" s="16"/>
      <c r="Y88" s="4"/>
      <c r="Z88" s="16"/>
      <c r="AA88" s="16"/>
      <c r="AB88" s="16"/>
      <c r="AC88" s="16"/>
      <c r="AD88" s="16"/>
      <c r="AE88" s="16"/>
      <c r="AF88" s="16"/>
      <c r="AG88" s="16"/>
      <c r="AH88" s="16"/>
      <c r="AI88" s="16"/>
      <c r="AJ88" s="16"/>
      <c r="AK88" s="16"/>
      <c r="AL88" s="16"/>
      <c r="AM88" s="16"/>
      <c r="AN88" s="16"/>
      <c r="AO88" s="16"/>
      <c r="AP88" s="16"/>
      <c r="AQ88" s="16"/>
    </row>
    <row r="89" spans="1:44" s="25" customFormat="1" ht="15" customHeight="1" thickBot="1">
      <c r="A89" s="237">
        <v>0</v>
      </c>
      <c r="B89" s="238">
        <v>63.1</v>
      </c>
      <c r="C89" s="238">
        <v>94.95</v>
      </c>
      <c r="D89" s="238">
        <v>78.84</v>
      </c>
      <c r="E89" s="238">
        <v>74</v>
      </c>
      <c r="F89" s="238">
        <v>74</v>
      </c>
      <c r="G89" s="238">
        <v>72</v>
      </c>
      <c r="H89" s="238">
        <v>73</v>
      </c>
      <c r="I89" s="238">
        <v>57</v>
      </c>
      <c r="J89" s="238"/>
      <c r="K89" s="238"/>
      <c r="L89" s="238"/>
      <c r="M89" s="238"/>
      <c r="N89" s="239"/>
      <c r="O89" s="238"/>
      <c r="P89" s="238"/>
      <c r="Q89" s="238"/>
      <c r="R89" s="238"/>
      <c r="S89" s="238"/>
      <c r="T89" s="238"/>
      <c r="U89" s="238"/>
      <c r="V89" s="239"/>
      <c r="W89" s="239">
        <v>82.22</v>
      </c>
      <c r="X89" s="240" t="s">
        <v>222</v>
      </c>
      <c r="Y89" s="23"/>
      <c r="Z89" s="223"/>
      <c r="AA89" s="223"/>
      <c r="AB89" s="223"/>
      <c r="AC89" s="223"/>
      <c r="AD89" s="223"/>
      <c r="AE89" s="223"/>
      <c r="AF89" s="223"/>
      <c r="AG89" s="223"/>
      <c r="AH89" s="223"/>
      <c r="AI89" s="223"/>
      <c r="AJ89" s="223"/>
      <c r="AK89" s="223"/>
      <c r="AL89" s="223"/>
      <c r="AM89" s="223"/>
      <c r="AN89" s="223"/>
      <c r="AO89" s="223"/>
      <c r="AP89" s="223"/>
      <c r="AQ89" s="223"/>
    </row>
    <row r="90" spans="1:44">
      <c r="A90" s="60"/>
      <c r="B90" s="60"/>
      <c r="C90" s="60"/>
      <c r="D90" s="60"/>
      <c r="E90" s="60"/>
      <c r="F90" s="60"/>
      <c r="G90" s="60"/>
      <c r="H90" s="60"/>
      <c r="I90" s="60"/>
      <c r="J90" s="60"/>
      <c r="K90" s="60"/>
      <c r="L90" s="60"/>
      <c r="M90" s="60"/>
      <c r="N90" s="60"/>
      <c r="O90" s="60"/>
      <c r="P90" s="60"/>
      <c r="Q90" s="60"/>
      <c r="R90" s="60"/>
      <c r="S90" s="60"/>
      <c r="T90" s="60"/>
      <c r="U90" s="60"/>
      <c r="V90" s="60"/>
      <c r="W90" s="60"/>
      <c r="X90" s="60"/>
      <c r="Y90" s="15"/>
      <c r="Z90" s="60"/>
      <c r="AA90" s="60"/>
      <c r="AB90" s="60"/>
      <c r="AC90" s="60"/>
      <c r="AD90" s="60"/>
      <c r="AE90" s="60"/>
      <c r="AF90" s="60"/>
      <c r="AG90" s="60"/>
      <c r="AH90" s="60"/>
      <c r="AI90" s="60"/>
      <c r="AJ90" s="60"/>
      <c r="AK90" s="60"/>
      <c r="AL90" s="60"/>
      <c r="AM90" s="60"/>
      <c r="AN90" s="60"/>
      <c r="AO90" s="60"/>
      <c r="AP90" s="60"/>
      <c r="AQ90" s="60"/>
      <c r="AR90" s="15"/>
    </row>
    <row r="91" spans="1:44">
      <c r="F91" s="81"/>
      <c r="I91" s="81"/>
      <c r="P91" s="81"/>
      <c r="Y91" s="202"/>
    </row>
    <row r="92" spans="1:44">
      <c r="E92" s="81"/>
      <c r="I92" s="81"/>
      <c r="Y92" s="202"/>
    </row>
    <row r="93" spans="1:44" ht="12.75" customHeight="1">
      <c r="A93" s="241"/>
      <c r="F93" s="81"/>
      <c r="I93" s="16"/>
      <c r="Y93" s="15"/>
      <c r="Z93" s="331"/>
      <c r="AA93" s="354" t="s">
        <v>1</v>
      </c>
      <c r="AB93" s="331"/>
    </row>
    <row r="94" spans="1:44">
      <c r="N94" s="434" t="s">
        <v>258</v>
      </c>
      <c r="O94" s="434"/>
      <c r="Y94" s="203"/>
      <c r="Z94" s="331"/>
      <c r="AA94" s="329" t="s">
        <v>137</v>
      </c>
      <c r="AB94" s="329" t="s">
        <v>262</v>
      </c>
      <c r="AC94" s="329" t="s">
        <v>265</v>
      </c>
    </row>
    <row r="95" spans="1:44">
      <c r="H95" s="16"/>
      <c r="N95" s="314">
        <v>2018</v>
      </c>
      <c r="O95" s="314">
        <v>145.69999999999999</v>
      </c>
      <c r="Y95" s="4"/>
      <c r="Z95" s="331">
        <v>2018</v>
      </c>
      <c r="AA95" s="329">
        <v>206</v>
      </c>
      <c r="AB95" s="329">
        <v>203</v>
      </c>
      <c r="AC95" s="329">
        <v>82</v>
      </c>
    </row>
    <row r="96" spans="1:44">
      <c r="N96" s="314">
        <v>2050</v>
      </c>
      <c r="O96" s="314">
        <v>0</v>
      </c>
      <c r="Y96" s="15"/>
      <c r="Z96" s="331">
        <v>2050</v>
      </c>
      <c r="AA96" s="329">
        <v>41</v>
      </c>
      <c r="AB96" s="329">
        <v>41</v>
      </c>
      <c r="AC96" s="329">
        <v>16</v>
      </c>
    </row>
    <row r="97" spans="14:28">
      <c r="N97" s="291" t="s">
        <v>259</v>
      </c>
      <c r="O97" s="291">
        <f>(O95-O96)*0.75</f>
        <v>109.27499999999999</v>
      </c>
      <c r="Y97" s="203"/>
      <c r="Z97" s="331"/>
      <c r="AA97" s="331"/>
      <c r="AB97" s="331"/>
    </row>
    <row r="98" spans="14:28">
      <c r="N98" s="349" t="s">
        <v>260</v>
      </c>
      <c r="O98" s="291">
        <f>(O95-O96)*0.25</f>
        <v>36.424999999999997</v>
      </c>
      <c r="Z98" s="318"/>
      <c r="AA98" s="318"/>
      <c r="AB98" s="318"/>
    </row>
    <row r="99" spans="14:28">
      <c r="Z99" s="331" t="s">
        <v>263</v>
      </c>
      <c r="AA99" s="331"/>
      <c r="AB99" s="331">
        <f>(AA95-AA96)+(AB95-AB96)+(AC95-AC96)</f>
        <v>393</v>
      </c>
    </row>
    <row r="100" spans="14:28">
      <c r="Z100" s="331" t="s">
        <v>264</v>
      </c>
      <c r="AA100" s="331"/>
      <c r="AB100" s="331">
        <f>AB99*1.3</f>
        <v>510.90000000000003</v>
      </c>
    </row>
  </sheetData>
  <mergeCells count="31">
    <mergeCell ref="N94:O94"/>
    <mergeCell ref="V86:V88"/>
    <mergeCell ref="W86:W88"/>
    <mergeCell ref="Q86:Q88"/>
    <mergeCell ref="R86:R88"/>
    <mergeCell ref="S86:S88"/>
    <mergeCell ref="T86:T88"/>
    <mergeCell ref="U86:U88"/>
    <mergeCell ref="L86:L88"/>
    <mergeCell ref="M86:M88"/>
    <mergeCell ref="N86:N88"/>
    <mergeCell ref="O86:O88"/>
    <mergeCell ref="P86:P88"/>
    <mergeCell ref="G86:G88"/>
    <mergeCell ref="H86:H88"/>
    <mergeCell ref="I86:I88"/>
    <mergeCell ref="J86:J88"/>
    <mergeCell ref="K86:K88"/>
    <mergeCell ref="B86:B88"/>
    <mergeCell ref="C86:C88"/>
    <mergeCell ref="D86:D88"/>
    <mergeCell ref="E86:E88"/>
    <mergeCell ref="F86:F88"/>
    <mergeCell ref="AF6:AG6"/>
    <mergeCell ref="AI6:AQ6"/>
    <mergeCell ref="D1:E1"/>
    <mergeCell ref="Y1:Y2"/>
    <mergeCell ref="A6:X6"/>
    <mergeCell ref="Z6:AC6"/>
    <mergeCell ref="AD6:AE6"/>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33"/>
    <pageSetUpPr fitToPage="1"/>
  </sheetPr>
  <dimension ref="A1:AV105"/>
  <sheetViews>
    <sheetView showGridLines="0" showZeros="0" topLeftCell="A10" zoomScale="85" zoomScaleNormal="85" workbookViewId="0">
      <selection activeCell="H72" sqref="H72"/>
    </sheetView>
  </sheetViews>
  <sheetFormatPr defaultColWidth="9.109375" defaultRowHeight="13.2"/>
  <cols>
    <col min="1" max="23" width="7.109375" style="18" customWidth="1"/>
    <col min="24" max="24" width="8.6640625" style="18" customWidth="1"/>
    <col min="25" max="25" width="59" style="6" bestFit="1" customWidth="1"/>
    <col min="26" max="29" width="5.6640625" style="18" customWidth="1"/>
    <col min="30" max="34" width="8.6640625" style="18" customWidth="1"/>
    <col min="35" max="43" width="7.109375" style="18" customWidth="1"/>
    <col min="44" max="16384" width="9.109375" style="6"/>
  </cols>
  <sheetData>
    <row r="1" spans="1:48" ht="15" customHeight="1">
      <c r="A1" s="224" t="s">
        <v>48</v>
      </c>
      <c r="B1" s="225"/>
      <c r="C1" s="225"/>
      <c r="D1" s="427">
        <v>114140</v>
      </c>
      <c r="E1" s="428"/>
      <c r="F1" s="16"/>
      <c r="G1" s="16"/>
      <c r="H1" s="16"/>
      <c r="I1" s="16"/>
      <c r="K1" s="16"/>
      <c r="L1" s="16"/>
      <c r="M1" s="16"/>
      <c r="N1" s="16"/>
      <c r="O1" s="16"/>
      <c r="P1" s="16"/>
      <c r="Q1" s="16"/>
      <c r="R1" s="16"/>
      <c r="S1" s="16"/>
      <c r="T1" s="16"/>
      <c r="U1" s="16"/>
      <c r="V1" s="204"/>
      <c r="W1" s="204"/>
      <c r="X1" s="204"/>
      <c r="Y1" s="429" t="s">
        <v>73</v>
      </c>
      <c r="Z1" s="204"/>
      <c r="AA1" s="204"/>
      <c r="AB1" s="204"/>
      <c r="AC1" s="204"/>
      <c r="AD1" s="16"/>
      <c r="AE1" s="16"/>
      <c r="AF1" s="16"/>
      <c r="AG1" s="16"/>
      <c r="AH1" s="16"/>
      <c r="AI1" s="16"/>
      <c r="AJ1" s="16"/>
      <c r="AK1" s="16"/>
      <c r="AL1" s="16"/>
      <c r="AM1" s="16"/>
      <c r="AN1" s="16"/>
      <c r="AO1" s="16"/>
      <c r="AP1" s="16"/>
      <c r="AQ1" s="16"/>
    </row>
    <row r="2" spans="1:48" ht="15" customHeight="1">
      <c r="A2" s="226" t="s">
        <v>50</v>
      </c>
      <c r="B2" s="16"/>
      <c r="C2" s="16"/>
      <c r="D2" s="122">
        <v>91.85</v>
      </c>
      <c r="E2" s="227" t="s">
        <v>49</v>
      </c>
      <c r="F2" s="16"/>
      <c r="G2" s="16"/>
      <c r="H2" s="124"/>
      <c r="I2" s="16"/>
      <c r="J2" s="16"/>
      <c r="K2" s="16"/>
      <c r="L2" s="16"/>
      <c r="M2" s="16"/>
      <c r="N2" s="16"/>
      <c r="O2" s="16"/>
      <c r="P2" s="16"/>
      <c r="Q2" s="16"/>
      <c r="R2" s="16"/>
      <c r="S2" s="16"/>
      <c r="T2" s="16"/>
      <c r="U2" s="16"/>
      <c r="V2" s="204"/>
      <c r="W2" s="204"/>
      <c r="X2" s="204"/>
      <c r="Y2" s="429"/>
      <c r="Z2" s="204"/>
      <c r="AA2" s="204"/>
      <c r="AB2" s="204"/>
      <c r="AC2" s="204"/>
      <c r="AD2" s="16"/>
      <c r="AE2" s="16"/>
      <c r="AF2" s="16"/>
      <c r="AG2" s="16"/>
      <c r="AH2" s="16"/>
      <c r="AI2" s="16"/>
      <c r="AJ2" s="16"/>
      <c r="AK2" s="16"/>
      <c r="AL2" s="16"/>
      <c r="AM2" s="16"/>
      <c r="AN2" s="16"/>
      <c r="AO2" s="16"/>
      <c r="AP2" s="16"/>
      <c r="AQ2" s="16"/>
    </row>
    <row r="3" spans="1:48" ht="15" customHeight="1" thickBot="1">
      <c r="A3" s="228" t="s">
        <v>46</v>
      </c>
      <c r="B3" s="229"/>
      <c r="C3" s="229"/>
      <c r="D3" s="229" t="s">
        <v>47</v>
      </c>
      <c r="E3" s="230"/>
      <c r="F3" s="16"/>
      <c r="G3" s="16"/>
      <c r="H3" s="16"/>
      <c r="I3" s="16"/>
      <c r="J3" s="16"/>
      <c r="K3" s="16"/>
      <c r="L3" s="16"/>
      <c r="M3" s="16"/>
      <c r="N3" s="16"/>
      <c r="O3" s="16"/>
      <c r="P3" s="16"/>
      <c r="Q3" s="16"/>
      <c r="R3" s="16"/>
      <c r="S3" s="16"/>
      <c r="T3" s="16"/>
      <c r="U3" s="16"/>
      <c r="V3" s="204"/>
      <c r="W3" s="204"/>
      <c r="X3" s="204"/>
      <c r="Y3" s="430" t="s">
        <v>254</v>
      </c>
      <c r="Z3" s="204"/>
      <c r="AA3" s="204"/>
      <c r="AB3" s="204"/>
      <c r="AC3" s="204"/>
      <c r="AD3" s="16"/>
      <c r="AE3" s="16"/>
      <c r="AF3" s="16"/>
      <c r="AG3" s="16"/>
      <c r="AH3" s="16"/>
      <c r="AI3" s="16"/>
      <c r="AJ3" s="16"/>
      <c r="AK3" s="16"/>
      <c r="AL3" s="16"/>
      <c r="AM3" s="16"/>
      <c r="AN3" s="16"/>
      <c r="AO3" s="16"/>
      <c r="AP3" s="16"/>
      <c r="AQ3" s="16"/>
    </row>
    <row r="4" spans="1:48" ht="15" customHeight="1">
      <c r="A4" s="16"/>
      <c r="B4" s="16"/>
      <c r="C4" s="16"/>
      <c r="D4" s="16"/>
      <c r="E4" s="16"/>
      <c r="F4" s="16"/>
      <c r="G4" s="16"/>
      <c r="H4" s="16"/>
      <c r="I4" s="16"/>
      <c r="J4" s="16"/>
      <c r="K4" s="16"/>
      <c r="L4" s="16"/>
      <c r="M4" s="16"/>
      <c r="N4" s="16"/>
      <c r="O4" s="16"/>
      <c r="P4" s="16"/>
      <c r="Q4" s="16"/>
      <c r="R4" s="16"/>
      <c r="S4" s="16"/>
      <c r="T4" s="16"/>
      <c r="U4" s="16"/>
      <c r="V4" s="204"/>
      <c r="W4" s="204"/>
      <c r="X4" s="204"/>
      <c r="Y4" s="430"/>
      <c r="Z4" s="204"/>
      <c r="AA4" s="204"/>
      <c r="AB4" s="204"/>
      <c r="AC4" s="204"/>
      <c r="AD4" s="16"/>
      <c r="AE4" s="16"/>
      <c r="AF4" s="16"/>
      <c r="AG4" s="16"/>
      <c r="AH4" s="16"/>
      <c r="AI4" s="16"/>
      <c r="AJ4" s="16"/>
      <c r="AK4" s="16"/>
      <c r="AL4" s="16"/>
      <c r="AM4" s="16"/>
      <c r="AN4" s="16"/>
      <c r="AO4" s="16"/>
      <c r="AP4" s="16"/>
      <c r="AQ4" s="16"/>
    </row>
    <row r="5" spans="1:48" ht="15" customHeight="1">
      <c r="A5" s="16"/>
      <c r="B5" s="16"/>
      <c r="C5" s="16"/>
      <c r="D5" s="16"/>
      <c r="E5" s="16"/>
      <c r="F5" s="16"/>
      <c r="G5" s="16"/>
      <c r="H5" s="16"/>
      <c r="I5" s="16"/>
      <c r="J5" s="16"/>
      <c r="K5" s="16"/>
      <c r="L5" s="16"/>
      <c r="M5" s="16"/>
      <c r="N5" s="16"/>
      <c r="O5" s="16"/>
      <c r="P5" s="16"/>
      <c r="Q5" s="16"/>
      <c r="R5" s="16"/>
      <c r="S5" s="16"/>
      <c r="T5" s="16"/>
      <c r="U5" s="16"/>
      <c r="V5" s="16"/>
      <c r="W5" s="16"/>
      <c r="X5" s="16"/>
      <c r="Z5" s="16"/>
      <c r="AA5" s="16"/>
      <c r="AB5" s="16"/>
      <c r="AC5" s="16"/>
      <c r="AD5" s="16"/>
      <c r="AE5" s="16"/>
      <c r="AF5" s="16"/>
      <c r="AG5" s="16"/>
      <c r="AH5" s="16"/>
      <c r="AI5" s="16"/>
      <c r="AJ5" s="16"/>
      <c r="AK5" s="16"/>
      <c r="AL5" s="16"/>
      <c r="AM5" s="16"/>
      <c r="AN5" s="16"/>
      <c r="AO5" s="16"/>
      <c r="AP5" s="16"/>
      <c r="AQ5" s="16"/>
    </row>
    <row r="6" spans="1:48" ht="15" customHeight="1">
      <c r="A6" s="426" t="s">
        <v>0</v>
      </c>
      <c r="B6" s="426"/>
      <c r="C6" s="426"/>
      <c r="D6" s="426"/>
      <c r="E6" s="426"/>
      <c r="F6" s="426"/>
      <c r="G6" s="426"/>
      <c r="H6" s="426"/>
      <c r="I6" s="426"/>
      <c r="J6" s="426"/>
      <c r="K6" s="426"/>
      <c r="L6" s="426"/>
      <c r="M6" s="426"/>
      <c r="N6" s="426"/>
      <c r="O6" s="426"/>
      <c r="P6" s="426"/>
      <c r="Q6" s="426"/>
      <c r="R6" s="426"/>
      <c r="S6" s="426"/>
      <c r="T6" s="426"/>
      <c r="U6" s="426"/>
      <c r="V6" s="426"/>
      <c r="W6" s="426"/>
      <c r="X6" s="426"/>
      <c r="Y6" s="201" t="s">
        <v>51</v>
      </c>
      <c r="Z6" s="426" t="s">
        <v>104</v>
      </c>
      <c r="AA6" s="426"/>
      <c r="AB6" s="426"/>
      <c r="AC6" s="426"/>
      <c r="AD6" s="426" t="s">
        <v>53</v>
      </c>
      <c r="AE6" s="426"/>
      <c r="AF6" s="426" t="s">
        <v>52</v>
      </c>
      <c r="AG6" s="426"/>
      <c r="AH6" s="205"/>
      <c r="AI6" s="426" t="s">
        <v>1</v>
      </c>
      <c r="AJ6" s="426"/>
      <c r="AK6" s="426"/>
      <c r="AL6" s="426"/>
      <c r="AM6" s="426"/>
      <c r="AN6" s="426"/>
      <c r="AO6" s="426"/>
      <c r="AP6" s="426"/>
      <c r="AQ6" s="426"/>
    </row>
    <row r="7" spans="1:48" s="9" customFormat="1" ht="159.9" customHeight="1" thickBot="1">
      <c r="A7" s="127" t="s">
        <v>74</v>
      </c>
      <c r="B7" s="128" t="s">
        <v>75</v>
      </c>
      <c r="C7" s="128" t="s">
        <v>76</v>
      </c>
      <c r="D7" s="128" t="s">
        <v>77</v>
      </c>
      <c r="E7" s="128" t="s">
        <v>78</v>
      </c>
      <c r="F7" s="128" t="s">
        <v>79</v>
      </c>
      <c r="G7" s="128" t="s">
        <v>80</v>
      </c>
      <c r="H7" s="128" t="s">
        <v>81</v>
      </c>
      <c r="I7" s="128" t="s">
        <v>82</v>
      </c>
      <c r="J7" s="128" t="s">
        <v>83</v>
      </c>
      <c r="K7" s="128" t="s">
        <v>84</v>
      </c>
      <c r="L7" s="128" t="s">
        <v>85</v>
      </c>
      <c r="M7" s="128" t="s">
        <v>86</v>
      </c>
      <c r="N7" s="128" t="s">
        <v>87</v>
      </c>
      <c r="O7" s="128" t="s">
        <v>88</v>
      </c>
      <c r="P7" s="128" t="s">
        <v>89</v>
      </c>
      <c r="Q7" s="128" t="s">
        <v>90</v>
      </c>
      <c r="R7" s="128" t="s">
        <v>91</v>
      </c>
      <c r="S7" s="128" t="s">
        <v>92</v>
      </c>
      <c r="T7" s="128" t="s">
        <v>93</v>
      </c>
      <c r="U7" s="128" t="s">
        <v>94</v>
      </c>
      <c r="V7" s="128" t="s">
        <v>95</v>
      </c>
      <c r="W7" s="128" t="s">
        <v>96</v>
      </c>
      <c r="X7" s="129" t="s">
        <v>97</v>
      </c>
      <c r="Y7" s="130"/>
      <c r="Z7" s="131" t="s">
        <v>98</v>
      </c>
      <c r="AA7" s="128" t="s">
        <v>99</v>
      </c>
      <c r="AB7" s="128" t="s">
        <v>100</v>
      </c>
      <c r="AC7" s="129" t="s">
        <v>101</v>
      </c>
      <c r="AD7" s="127" t="s">
        <v>102</v>
      </c>
      <c r="AE7" s="129" t="s">
        <v>103</v>
      </c>
      <c r="AF7" s="127" t="s">
        <v>102</v>
      </c>
      <c r="AG7" s="129" t="s">
        <v>103</v>
      </c>
      <c r="AH7" s="132" t="s">
        <v>105</v>
      </c>
      <c r="AI7" s="133" t="s">
        <v>106</v>
      </c>
      <c r="AJ7" s="128" t="s">
        <v>107</v>
      </c>
      <c r="AK7" s="128" t="s">
        <v>108</v>
      </c>
      <c r="AL7" s="128" t="s">
        <v>109</v>
      </c>
      <c r="AM7" s="128" t="s">
        <v>110</v>
      </c>
      <c r="AN7" s="128" t="s">
        <v>111</v>
      </c>
      <c r="AO7" s="134" t="s">
        <v>112</v>
      </c>
      <c r="AP7" s="134" t="s">
        <v>113</v>
      </c>
      <c r="AQ7" s="129" t="s">
        <v>114</v>
      </c>
    </row>
    <row r="8" spans="1:48" ht="15" customHeight="1">
      <c r="A8" s="135"/>
      <c r="B8" s="136"/>
      <c r="C8" s="136"/>
      <c r="D8" s="136"/>
      <c r="E8" s="136"/>
      <c r="F8" s="136"/>
      <c r="G8" s="136"/>
      <c r="H8" s="136"/>
      <c r="I8" s="136"/>
      <c r="J8" s="136"/>
      <c r="K8" s="136"/>
      <c r="L8" s="136"/>
      <c r="M8" s="136"/>
      <c r="N8" s="136"/>
      <c r="O8" s="136"/>
      <c r="P8" s="136"/>
      <c r="Q8" s="136"/>
      <c r="R8" s="136"/>
      <c r="S8" s="136"/>
      <c r="T8" s="136"/>
      <c r="U8" s="136"/>
      <c r="V8" s="136"/>
      <c r="W8" s="136"/>
      <c r="X8" s="137">
        <f t="shared" ref="X8:X80" si="0">SUM(A8:W8)</f>
        <v>0</v>
      </c>
      <c r="Y8" s="138" t="s">
        <v>3</v>
      </c>
      <c r="Z8" s="135"/>
      <c r="AA8" s="136">
        <v>44</v>
      </c>
      <c r="AB8" s="136"/>
      <c r="AC8" s="137"/>
      <c r="AD8" s="135">
        <f t="shared" ref="AD8:AD13" si="1">-AE8/$D$2%</f>
        <v>-100.21279754540507</v>
      </c>
      <c r="AE8" s="139">
        <f>AH8/AA8%</f>
        <v>92.045454545454547</v>
      </c>
      <c r="AF8" s="140"/>
      <c r="AG8" s="139"/>
      <c r="AH8" s="141">
        <f t="shared" ref="AH8:AH14" si="2">SUM(AI8:AQ8)</f>
        <v>40.5</v>
      </c>
      <c r="AI8" s="110">
        <v>40.5</v>
      </c>
      <c r="AJ8" s="142"/>
      <c r="AK8" s="142"/>
      <c r="AL8" s="142"/>
      <c r="AM8" s="142"/>
      <c r="AN8" s="142"/>
      <c r="AO8" s="142"/>
      <c r="AP8" s="142"/>
      <c r="AQ8" s="143"/>
    </row>
    <row r="9" spans="1:48" ht="15" customHeight="1">
      <c r="A9" s="135"/>
      <c r="B9" s="136"/>
      <c r="C9" s="136"/>
      <c r="D9" s="136"/>
      <c r="E9" s="136"/>
      <c r="F9" s="136"/>
      <c r="G9" s="136"/>
      <c r="H9" s="136"/>
      <c r="I9" s="136"/>
      <c r="J9" s="136"/>
      <c r="K9" s="136"/>
      <c r="L9" s="136"/>
      <c r="M9" s="136"/>
      <c r="N9" s="136"/>
      <c r="O9" s="136"/>
      <c r="P9" s="136"/>
      <c r="Q9" s="136"/>
      <c r="R9" s="136"/>
      <c r="S9" s="136"/>
      <c r="T9" s="136"/>
      <c r="U9" s="136"/>
      <c r="V9" s="136"/>
      <c r="W9" s="136"/>
      <c r="X9" s="137">
        <f t="shared" si="0"/>
        <v>0</v>
      </c>
      <c r="Y9" s="138" t="s">
        <v>4</v>
      </c>
      <c r="Z9" s="135"/>
      <c r="AA9" s="136"/>
      <c r="AB9" s="136">
        <v>90</v>
      </c>
      <c r="AC9" s="137"/>
      <c r="AD9" s="135">
        <f t="shared" si="1"/>
        <v>-7.5001512127260632</v>
      </c>
      <c r="AE9" s="139">
        <f>AH9/AB9%</f>
        <v>6.8888888888888893</v>
      </c>
      <c r="AF9" s="140"/>
      <c r="AG9" s="139"/>
      <c r="AH9" s="141">
        <f t="shared" si="2"/>
        <v>6.2</v>
      </c>
      <c r="AI9" s="111">
        <v>6.2</v>
      </c>
      <c r="AJ9" s="142"/>
      <c r="AK9" s="142"/>
      <c r="AL9" s="142"/>
      <c r="AM9" s="142"/>
      <c r="AN9" s="142"/>
      <c r="AO9" s="142"/>
      <c r="AP9" s="142"/>
      <c r="AQ9" s="143"/>
    </row>
    <row r="10" spans="1:48" ht="15" customHeight="1">
      <c r="A10" s="135"/>
      <c r="B10" s="136"/>
      <c r="C10" s="136"/>
      <c r="D10" s="136"/>
      <c r="E10" s="136"/>
      <c r="F10" s="136"/>
      <c r="G10" s="136"/>
      <c r="H10" s="136"/>
      <c r="I10" s="136"/>
      <c r="J10" s="136"/>
      <c r="K10" s="136"/>
      <c r="L10" s="136"/>
      <c r="M10" s="136"/>
      <c r="N10" s="136"/>
      <c r="O10" s="136"/>
      <c r="P10" s="136"/>
      <c r="Q10" s="136"/>
      <c r="R10" s="136"/>
      <c r="S10" s="136"/>
      <c r="T10" s="136"/>
      <c r="U10" s="136"/>
      <c r="V10" s="136"/>
      <c r="W10" s="136"/>
      <c r="X10" s="137">
        <f t="shared" si="0"/>
        <v>0</v>
      </c>
      <c r="Y10" s="138" t="s">
        <v>5</v>
      </c>
      <c r="Z10" s="135"/>
      <c r="AA10" s="136"/>
      <c r="AB10" s="136">
        <v>100</v>
      </c>
      <c r="AC10" s="137"/>
      <c r="AD10" s="135">
        <f t="shared" si="1"/>
        <v>-30.728361458900377</v>
      </c>
      <c r="AE10" s="385">
        <f>AH10/AB10%*0.96</f>
        <v>28.223999999999997</v>
      </c>
      <c r="AF10" s="140"/>
      <c r="AG10" s="139"/>
      <c r="AH10" s="141">
        <f t="shared" si="2"/>
        <v>29.4</v>
      </c>
      <c r="AI10" s="111">
        <v>29.4</v>
      </c>
      <c r="AJ10" s="142"/>
      <c r="AK10" s="142"/>
      <c r="AL10" s="142"/>
      <c r="AM10" s="142"/>
      <c r="AN10" s="142"/>
      <c r="AO10" s="142"/>
      <c r="AP10" s="142"/>
      <c r="AQ10" s="143"/>
    </row>
    <row r="11" spans="1:48" ht="15" customHeight="1">
      <c r="A11" s="135"/>
      <c r="B11" s="136"/>
      <c r="C11" s="136"/>
      <c r="D11" s="136"/>
      <c r="E11" s="136"/>
      <c r="F11" s="136"/>
      <c r="G11" s="136"/>
      <c r="H11" s="136"/>
      <c r="I11" s="136"/>
      <c r="J11" s="136"/>
      <c r="K11" s="136"/>
      <c r="L11" s="136"/>
      <c r="M11" s="136"/>
      <c r="N11" s="136"/>
      <c r="O11" s="136"/>
      <c r="P11" s="136"/>
      <c r="Q11" s="136"/>
      <c r="R11" s="136"/>
      <c r="S11" s="136"/>
      <c r="T11" s="136"/>
      <c r="U11" s="136"/>
      <c r="V11" s="136"/>
      <c r="W11" s="136"/>
      <c r="X11" s="137">
        <f t="shared" si="0"/>
        <v>0</v>
      </c>
      <c r="Y11" s="138" t="s">
        <v>18</v>
      </c>
      <c r="Z11" s="135"/>
      <c r="AA11" s="136">
        <v>50</v>
      </c>
      <c r="AB11" s="136"/>
      <c r="AC11" s="137"/>
      <c r="AD11" s="135">
        <f t="shared" si="1"/>
        <v>-259.23549706368334</v>
      </c>
      <c r="AE11" s="139">
        <f>AH11/AA11%</f>
        <v>238.10780405299315</v>
      </c>
      <c r="AF11" s="140"/>
      <c r="AG11" s="139"/>
      <c r="AH11" s="141">
        <f t="shared" si="2"/>
        <v>119.05390202649657</v>
      </c>
      <c r="AI11" s="111">
        <v>46.010289091700542</v>
      </c>
      <c r="AJ11" s="110">
        <v>22.718153257843227</v>
      </c>
      <c r="AK11" s="110">
        <v>13.335913320128627</v>
      </c>
      <c r="AL11" s="110">
        <v>19.417644533969696</v>
      </c>
      <c r="AM11" s="110">
        <v>0.43494709198286113</v>
      </c>
      <c r="AN11" s="110">
        <v>10.511732351298905</v>
      </c>
      <c r="AO11" s="110">
        <v>9.4099299204511919E-2</v>
      </c>
      <c r="AP11" s="110">
        <v>6.5311230803682063</v>
      </c>
      <c r="AQ11" s="143"/>
    </row>
    <row r="12" spans="1:48" ht="15" customHeight="1">
      <c r="A12" s="135"/>
      <c r="B12" s="136"/>
      <c r="C12" s="136"/>
      <c r="D12" s="136"/>
      <c r="E12" s="136"/>
      <c r="F12" s="136"/>
      <c r="G12" s="136"/>
      <c r="H12" s="136"/>
      <c r="I12" s="136"/>
      <c r="J12" s="136"/>
      <c r="K12" s="136"/>
      <c r="L12" s="136"/>
      <c r="M12" s="136"/>
      <c r="N12" s="136"/>
      <c r="O12" s="136"/>
      <c r="P12" s="136"/>
      <c r="Q12" s="136"/>
      <c r="R12" s="136"/>
      <c r="S12" s="136"/>
      <c r="T12" s="136"/>
      <c r="U12" s="136"/>
      <c r="V12" s="136"/>
      <c r="W12" s="136"/>
      <c r="X12" s="137">
        <f t="shared" si="0"/>
        <v>0</v>
      </c>
      <c r="Y12" s="138" t="s">
        <v>19</v>
      </c>
      <c r="Z12" s="135"/>
      <c r="AA12" s="136">
        <v>150</v>
      </c>
      <c r="AB12" s="136"/>
      <c r="AC12" s="137"/>
      <c r="AD12" s="135">
        <f t="shared" si="1"/>
        <v>-232.82836592102817</v>
      </c>
      <c r="AE12" s="139">
        <f>AH12/AA12%</f>
        <v>213.85285409846438</v>
      </c>
      <c r="AF12" s="140"/>
      <c r="AG12" s="139"/>
      <c r="AH12" s="141">
        <f t="shared" si="2"/>
        <v>320.77928114769657</v>
      </c>
      <c r="AI12" s="111">
        <v>162.9654755570555</v>
      </c>
      <c r="AJ12" s="110"/>
      <c r="AK12" s="110">
        <v>44.808668755632191</v>
      </c>
      <c r="AL12" s="110">
        <v>65.243285634138189</v>
      </c>
      <c r="AM12" s="110">
        <v>1.7397883679314448</v>
      </c>
      <c r="AN12" s="110">
        <v>42.04692940519562</v>
      </c>
      <c r="AO12" s="110">
        <v>5.6459579522707144E-2</v>
      </c>
      <c r="AP12" s="110">
        <v>3.9186738482209234</v>
      </c>
      <c r="AQ12" s="143"/>
    </row>
    <row r="13" spans="1:48" ht="15" customHeight="1">
      <c r="A13" s="135"/>
      <c r="B13" s="136"/>
      <c r="C13" s="136"/>
      <c r="D13" s="136"/>
      <c r="E13" s="136"/>
      <c r="F13" s="136"/>
      <c r="G13" s="136"/>
      <c r="H13" s="136"/>
      <c r="I13" s="136"/>
      <c r="J13" s="136"/>
      <c r="K13" s="136"/>
      <c r="L13" s="136"/>
      <c r="M13" s="136"/>
      <c r="N13" s="136"/>
      <c r="O13" s="136"/>
      <c r="P13" s="136"/>
      <c r="Q13" s="136"/>
      <c r="R13" s="136"/>
      <c r="S13" s="136"/>
      <c r="T13" s="136"/>
      <c r="U13" s="136"/>
      <c r="V13" s="136"/>
      <c r="W13" s="136"/>
      <c r="X13" s="137">
        <f t="shared" si="0"/>
        <v>0</v>
      </c>
      <c r="Y13" s="138" t="s">
        <v>71</v>
      </c>
      <c r="Z13" s="135"/>
      <c r="AA13" s="136">
        <v>85</v>
      </c>
      <c r="AB13" s="136"/>
      <c r="AC13" s="137"/>
      <c r="AD13" s="135">
        <f t="shared" si="1"/>
        <v>-1195.4526434645702</v>
      </c>
      <c r="AE13" s="139">
        <f>AH13/AA13%</f>
        <v>1098.0232530222077</v>
      </c>
      <c r="AF13" s="140"/>
      <c r="AG13" s="139"/>
      <c r="AH13" s="141">
        <f t="shared" si="2"/>
        <v>933.31976506887645</v>
      </c>
      <c r="AI13" s="111">
        <v>255.84689140733357</v>
      </c>
      <c r="AJ13" s="110">
        <v>104.41936367771646</v>
      </c>
      <c r="AK13" s="110">
        <v>42.621578971131093</v>
      </c>
      <c r="AL13" s="110">
        <v>62.058791930567139</v>
      </c>
      <c r="AM13" s="110">
        <v>10.598210807982381</v>
      </c>
      <c r="AN13" s="110">
        <v>256.13587829331669</v>
      </c>
      <c r="AO13" s="110">
        <v>0.87449615394059732</v>
      </c>
      <c r="AP13" s="110">
        <v>60.695903826888525</v>
      </c>
      <c r="AQ13" s="316">
        <f>1+I97+AH98</f>
        <v>140.06865000000002</v>
      </c>
      <c r="AR13" s="19"/>
    </row>
    <row r="14" spans="1:48" ht="15" customHeight="1">
      <c r="A14" s="135"/>
      <c r="B14" s="144"/>
      <c r="C14" s="136"/>
      <c r="D14" s="136"/>
      <c r="E14" s="136"/>
      <c r="F14" s="136"/>
      <c r="G14" s="136"/>
      <c r="H14" s="136"/>
      <c r="I14" s="136"/>
      <c r="J14" s="136"/>
      <c r="K14" s="136"/>
      <c r="L14" s="136"/>
      <c r="M14" s="136"/>
      <c r="N14" s="110">
        <f>AH14-AE14</f>
        <v>80.993333333333325</v>
      </c>
      <c r="O14" s="136"/>
      <c r="P14" s="136"/>
      <c r="Q14" s="136"/>
      <c r="R14" s="136"/>
      <c r="S14" s="136"/>
      <c r="T14" s="136"/>
      <c r="U14" s="136"/>
      <c r="V14" s="136"/>
      <c r="W14" s="136"/>
      <c r="X14" s="137">
        <f t="shared" si="0"/>
        <v>80.993333333333325</v>
      </c>
      <c r="Y14" s="138" t="s">
        <v>54</v>
      </c>
      <c r="Z14" s="135"/>
      <c r="AA14" s="136"/>
      <c r="AB14" s="136">
        <v>300</v>
      </c>
      <c r="AC14" s="137"/>
      <c r="AD14" s="135">
        <f>-AE14/$D$2%</f>
        <v>-44.090001814552714</v>
      </c>
      <c r="AE14" s="316">
        <f>9+6+(76.49/AB14%)</f>
        <v>40.49666666666667</v>
      </c>
      <c r="AF14" s="140"/>
      <c r="AG14" s="139"/>
      <c r="AH14" s="141">
        <f t="shared" si="2"/>
        <v>121.49</v>
      </c>
      <c r="AI14" s="145">
        <f>AE14*AB14/100</f>
        <v>121.49</v>
      </c>
      <c r="AJ14" s="144"/>
      <c r="AK14" s="144"/>
      <c r="AL14" s="144"/>
      <c r="AM14" s="144"/>
      <c r="AN14" s="144"/>
      <c r="AO14" s="144"/>
      <c r="AP14" s="144"/>
      <c r="AQ14" s="139"/>
      <c r="AV14" s="11"/>
    </row>
    <row r="15" spans="1:48" ht="15" customHeight="1">
      <c r="A15" s="113">
        <f>Z15%*AD15</f>
        <v>-988.62884322060302</v>
      </c>
      <c r="B15" s="144"/>
      <c r="C15" s="136"/>
      <c r="D15" s="136"/>
      <c r="E15" s="136"/>
      <c r="F15" s="136"/>
      <c r="G15" s="136"/>
      <c r="H15" s="136"/>
      <c r="I15" s="136"/>
      <c r="J15" s="136"/>
      <c r="K15" s="136"/>
      <c r="L15" s="136"/>
      <c r="M15" s="136"/>
      <c r="N15" s="136"/>
      <c r="O15" s="136"/>
      <c r="P15" s="136"/>
      <c r="Q15" s="136"/>
      <c r="R15" s="136"/>
      <c r="S15" s="136"/>
      <c r="T15" s="136"/>
      <c r="U15" s="136"/>
      <c r="V15" s="136"/>
      <c r="W15" s="136"/>
      <c r="X15" s="137">
        <f t="shared" si="0"/>
        <v>-988.62884322060302</v>
      </c>
      <c r="Y15" s="138" t="s">
        <v>34</v>
      </c>
      <c r="Z15" s="135">
        <v>100</v>
      </c>
      <c r="AA15" s="136"/>
      <c r="AB15" s="136"/>
      <c r="AC15" s="137"/>
      <c r="AD15" s="135">
        <f>-SUM(AD16:AD80,AD8:AD14)</f>
        <v>-988.62884322060302</v>
      </c>
      <c r="AE15" s="139"/>
      <c r="AF15" s="140"/>
      <c r="AG15" s="139"/>
      <c r="AH15" s="141">
        <f t="shared" ref="AH15:AH52" si="3">SUM(AI15:AQ15)</f>
        <v>0</v>
      </c>
      <c r="AI15" s="140"/>
      <c r="AJ15" s="144"/>
      <c r="AK15" s="144"/>
      <c r="AL15" s="144"/>
      <c r="AM15" s="144"/>
      <c r="AN15" s="144"/>
      <c r="AO15" s="144"/>
      <c r="AP15" s="144"/>
      <c r="AQ15" s="139"/>
      <c r="AV15" s="11"/>
    </row>
    <row r="16" spans="1:48" ht="15" customHeight="1">
      <c r="A16" s="146"/>
      <c r="B16" s="110">
        <v>43</v>
      </c>
      <c r="C16" s="147"/>
      <c r="D16" s="147"/>
      <c r="E16" s="148"/>
      <c r="F16" s="148"/>
      <c r="G16" s="148"/>
      <c r="H16" s="148"/>
      <c r="I16" s="148"/>
      <c r="J16" s="147"/>
      <c r="K16" s="147"/>
      <c r="L16" s="147"/>
      <c r="M16" s="147"/>
      <c r="N16" s="147"/>
      <c r="O16" s="147"/>
      <c r="P16" s="147"/>
      <c r="Q16" s="147"/>
      <c r="R16" s="147"/>
      <c r="S16" s="147"/>
      <c r="T16" s="147"/>
      <c r="U16" s="147"/>
      <c r="V16" s="147"/>
      <c r="W16" s="147"/>
      <c r="X16" s="137">
        <f t="shared" si="0"/>
        <v>43</v>
      </c>
      <c r="Y16" s="149" t="s">
        <v>72</v>
      </c>
      <c r="Z16" s="150"/>
      <c r="AA16" s="147"/>
      <c r="AB16" s="148">
        <v>38</v>
      </c>
      <c r="AC16" s="151"/>
      <c r="AD16" s="150"/>
      <c r="AE16" s="151"/>
      <c r="AF16" s="150"/>
      <c r="AG16" s="151"/>
      <c r="AH16" s="108">
        <f t="shared" si="3"/>
        <v>16.34</v>
      </c>
      <c r="AI16" s="152">
        <f>X16*AB16/100*0.2</f>
        <v>3.2680000000000002</v>
      </c>
      <c r="AJ16" s="273"/>
      <c r="AK16" s="273"/>
      <c r="AL16" s="273"/>
      <c r="AM16" s="273"/>
      <c r="AN16" s="273">
        <f>X16*AB16/100*0.6</f>
        <v>9.8040000000000003</v>
      </c>
      <c r="AO16" s="273"/>
      <c r="AP16" s="273"/>
      <c r="AQ16" s="274">
        <f>X16*AB16/100*0.2</f>
        <v>3.2680000000000002</v>
      </c>
      <c r="AV16" s="11"/>
    </row>
    <row r="17" spans="1:48" ht="15" customHeight="1">
      <c r="A17" s="135"/>
      <c r="B17" s="144"/>
      <c r="C17" s="136"/>
      <c r="D17" s="136"/>
      <c r="E17" s="311">
        <f>145.7*0.96*0.3</f>
        <v>41.961599999999997</v>
      </c>
      <c r="F17" s="144"/>
      <c r="G17" s="144"/>
      <c r="H17" s="144"/>
      <c r="I17" s="144"/>
      <c r="J17" s="136"/>
      <c r="K17" s="136"/>
      <c r="L17" s="136"/>
      <c r="M17" s="136"/>
      <c r="N17" s="144"/>
      <c r="O17" s="144"/>
      <c r="P17" s="144"/>
      <c r="Q17" s="144"/>
      <c r="R17" s="144"/>
      <c r="S17" s="144"/>
      <c r="T17" s="144"/>
      <c r="U17" s="144"/>
      <c r="V17" s="144"/>
      <c r="W17" s="144"/>
      <c r="X17" s="137">
        <f t="shared" si="0"/>
        <v>41.961599999999997</v>
      </c>
      <c r="Y17" s="138" t="s">
        <v>55</v>
      </c>
      <c r="Z17" s="135"/>
      <c r="AA17" s="136"/>
      <c r="AB17" s="144">
        <v>80</v>
      </c>
      <c r="AC17" s="137"/>
      <c r="AD17" s="135"/>
      <c r="AE17" s="137"/>
      <c r="AF17" s="135"/>
      <c r="AG17" s="137"/>
      <c r="AH17" s="108">
        <f t="shared" si="3"/>
        <v>33.569279999999999</v>
      </c>
      <c r="AI17" s="153">
        <f t="shared" ref="AI17:AI22" si="4">X17*AB17/100</f>
        <v>33.569279999999999</v>
      </c>
      <c r="AJ17" s="136"/>
      <c r="AK17" s="136"/>
      <c r="AL17" s="136"/>
      <c r="AM17" s="136"/>
      <c r="AN17" s="136"/>
      <c r="AO17" s="136"/>
      <c r="AP17" s="136"/>
      <c r="AQ17" s="137"/>
      <c r="AS17" s="11"/>
    </row>
    <row r="18" spans="1:48" ht="15" customHeight="1">
      <c r="A18" s="135"/>
      <c r="B18" s="144"/>
      <c r="C18" s="136"/>
      <c r="D18" s="136"/>
      <c r="E18" s="144"/>
      <c r="F18" s="144"/>
      <c r="G18" s="144"/>
      <c r="H18" s="144"/>
      <c r="I18" s="311">
        <f>(357.5*0.96)*0.8</f>
        <v>274.56</v>
      </c>
      <c r="J18" s="136"/>
      <c r="K18" s="136"/>
      <c r="L18" s="136"/>
      <c r="M18" s="136"/>
      <c r="N18" s="144"/>
      <c r="O18" s="144"/>
      <c r="P18" s="144"/>
      <c r="Q18" s="144"/>
      <c r="R18" s="144"/>
      <c r="S18" s="144"/>
      <c r="T18" s="144"/>
      <c r="U18" s="144"/>
      <c r="V18" s="144"/>
      <c r="W18" s="144"/>
      <c r="X18" s="137">
        <f t="shared" si="0"/>
        <v>274.56</v>
      </c>
      <c r="Y18" s="138" t="s">
        <v>56</v>
      </c>
      <c r="Z18" s="135"/>
      <c r="AA18" s="136"/>
      <c r="AB18" s="144">
        <v>85</v>
      </c>
      <c r="AC18" s="137"/>
      <c r="AD18" s="135"/>
      <c r="AE18" s="137"/>
      <c r="AF18" s="135"/>
      <c r="AG18" s="137"/>
      <c r="AH18" s="108">
        <f t="shared" si="3"/>
        <v>233.37599999999998</v>
      </c>
      <c r="AI18" s="153">
        <f t="shared" si="4"/>
        <v>233.37599999999998</v>
      </c>
      <c r="AJ18" s="136"/>
      <c r="AK18" s="136"/>
      <c r="AL18" s="136"/>
      <c r="AM18" s="136"/>
      <c r="AN18" s="136"/>
      <c r="AO18" s="136"/>
      <c r="AP18" s="136"/>
      <c r="AQ18" s="137"/>
      <c r="AS18" s="11"/>
    </row>
    <row r="19" spans="1:48" ht="15" customHeight="1">
      <c r="A19" s="135"/>
      <c r="B19" s="136"/>
      <c r="C19" s="136"/>
      <c r="D19" s="136"/>
      <c r="E19" s="136"/>
      <c r="F19" s="136"/>
      <c r="G19" s="136"/>
      <c r="H19" s="136"/>
      <c r="I19" s="142"/>
      <c r="J19" s="136"/>
      <c r="K19" s="136"/>
      <c r="L19" s="136"/>
      <c r="M19" s="136"/>
      <c r="N19" s="144"/>
      <c r="O19" s="144"/>
      <c r="P19" s="144"/>
      <c r="Q19" s="142"/>
      <c r="R19" s="142"/>
      <c r="S19" s="311">
        <f>393*0.96+25.498</f>
        <v>402.77799999999996</v>
      </c>
      <c r="T19" s="144"/>
      <c r="U19" s="144"/>
      <c r="V19" s="144"/>
      <c r="W19" s="144"/>
      <c r="X19" s="137">
        <f t="shared" si="0"/>
        <v>402.77799999999996</v>
      </c>
      <c r="Y19" s="138" t="s">
        <v>57</v>
      </c>
      <c r="Z19" s="135"/>
      <c r="AA19" s="136"/>
      <c r="AB19" s="144">
        <v>75</v>
      </c>
      <c r="AC19" s="137"/>
      <c r="AD19" s="135"/>
      <c r="AE19" s="137"/>
      <c r="AF19" s="135"/>
      <c r="AG19" s="137"/>
      <c r="AH19" s="108">
        <f t="shared" si="3"/>
        <v>302.08349999999996</v>
      </c>
      <c r="AI19" s="153">
        <f t="shared" si="4"/>
        <v>302.08349999999996</v>
      </c>
      <c r="AJ19" s="136"/>
      <c r="AK19" s="136"/>
      <c r="AL19" s="136"/>
      <c r="AM19" s="136"/>
      <c r="AN19" s="136"/>
      <c r="AO19" s="136"/>
      <c r="AP19" s="136"/>
      <c r="AQ19" s="137"/>
      <c r="AV19" s="11"/>
    </row>
    <row r="20" spans="1:48" ht="15" customHeight="1">
      <c r="A20" s="135"/>
      <c r="B20" s="136"/>
      <c r="C20" s="136"/>
      <c r="D20" s="136"/>
      <c r="E20" s="136"/>
      <c r="F20" s="136"/>
      <c r="G20" s="136"/>
      <c r="H20" s="136"/>
      <c r="I20" s="142"/>
      <c r="J20" s="136"/>
      <c r="K20" s="136"/>
      <c r="L20" s="136"/>
      <c r="M20" s="136"/>
      <c r="N20" s="144"/>
      <c r="O20" s="144"/>
      <c r="P20" s="144"/>
      <c r="Q20" s="142"/>
      <c r="R20" s="311">
        <f>362*0.96</f>
        <v>347.52</v>
      </c>
      <c r="S20" s="142"/>
      <c r="T20" s="144"/>
      <c r="U20" s="144"/>
      <c r="V20" s="144"/>
      <c r="W20" s="144"/>
      <c r="X20" s="137">
        <f t="shared" si="0"/>
        <v>347.52</v>
      </c>
      <c r="Y20" s="138" t="s">
        <v>58</v>
      </c>
      <c r="Z20" s="135"/>
      <c r="AA20" s="136"/>
      <c r="AB20" s="144">
        <v>65</v>
      </c>
      <c r="AC20" s="137"/>
      <c r="AD20" s="135"/>
      <c r="AE20" s="137"/>
      <c r="AF20" s="135"/>
      <c r="AG20" s="137"/>
      <c r="AH20" s="108">
        <f t="shared" si="3"/>
        <v>225.88800000000001</v>
      </c>
      <c r="AI20" s="153">
        <f t="shared" si="4"/>
        <v>225.88800000000001</v>
      </c>
      <c r="AJ20" s="136"/>
      <c r="AK20" s="136"/>
      <c r="AL20" s="136"/>
      <c r="AM20" s="136"/>
      <c r="AN20" s="136"/>
      <c r="AO20" s="136"/>
      <c r="AP20" s="136"/>
      <c r="AQ20" s="137"/>
      <c r="AS20" s="11"/>
    </row>
    <row r="21" spans="1:48" ht="15" customHeight="1">
      <c r="A21" s="135"/>
      <c r="B21" s="136"/>
      <c r="C21" s="136"/>
      <c r="D21" s="136"/>
      <c r="E21" s="136"/>
      <c r="F21" s="136"/>
      <c r="G21" s="136"/>
      <c r="H21" s="136"/>
      <c r="I21" s="142"/>
      <c r="J21" s="136"/>
      <c r="K21" s="136"/>
      <c r="L21" s="136"/>
      <c r="M21" s="136"/>
      <c r="N21" s="144"/>
      <c r="O21" s="144"/>
      <c r="P21" s="144"/>
      <c r="Q21" s="311">
        <f>88.7*0.96</f>
        <v>85.152000000000001</v>
      </c>
      <c r="R21" s="142"/>
      <c r="S21" s="142"/>
      <c r="T21" s="144"/>
      <c r="U21" s="144"/>
      <c r="V21" s="144"/>
      <c r="W21" s="144"/>
      <c r="X21" s="137">
        <f t="shared" si="0"/>
        <v>85.152000000000001</v>
      </c>
      <c r="Y21" s="138" t="s">
        <v>59</v>
      </c>
      <c r="Z21" s="135"/>
      <c r="AA21" s="136"/>
      <c r="AB21" s="144">
        <v>65</v>
      </c>
      <c r="AC21" s="137"/>
      <c r="AD21" s="135"/>
      <c r="AE21" s="137"/>
      <c r="AF21" s="135"/>
      <c r="AG21" s="137"/>
      <c r="AH21" s="108">
        <f t="shared" si="3"/>
        <v>55.348800000000004</v>
      </c>
      <c r="AI21" s="153">
        <f t="shared" si="4"/>
        <v>55.348800000000004</v>
      </c>
      <c r="AJ21" s="136"/>
      <c r="AK21" s="136"/>
      <c r="AL21" s="136"/>
      <c r="AM21" s="136"/>
      <c r="AN21" s="136"/>
      <c r="AO21" s="136"/>
      <c r="AP21" s="136"/>
      <c r="AQ21" s="137"/>
      <c r="AS21" s="11"/>
    </row>
    <row r="22" spans="1:48" ht="15" customHeight="1">
      <c r="A22" s="135"/>
      <c r="B22" s="136"/>
      <c r="C22" s="136"/>
      <c r="D22" s="136"/>
      <c r="E22" s="136"/>
      <c r="F22" s="136"/>
      <c r="G22" s="136"/>
      <c r="H22" s="136"/>
      <c r="I22" s="142"/>
      <c r="J22" s="136"/>
      <c r="K22" s="136"/>
      <c r="L22" s="110">
        <v>9.3000000000000007</v>
      </c>
      <c r="M22" s="136"/>
      <c r="N22" s="144"/>
      <c r="O22" s="144"/>
      <c r="P22" s="144"/>
      <c r="Q22" s="144"/>
      <c r="R22" s="144"/>
      <c r="S22" s="144"/>
      <c r="T22" s="144"/>
      <c r="U22" s="144"/>
      <c r="V22" s="144"/>
      <c r="W22" s="144"/>
      <c r="X22" s="137">
        <f t="shared" si="0"/>
        <v>9.3000000000000007</v>
      </c>
      <c r="Y22" s="138" t="s">
        <v>6</v>
      </c>
      <c r="Z22" s="135"/>
      <c r="AA22" s="136"/>
      <c r="AB22" s="136">
        <v>100</v>
      </c>
      <c r="AC22" s="137"/>
      <c r="AD22" s="135"/>
      <c r="AE22" s="137"/>
      <c r="AF22" s="135"/>
      <c r="AG22" s="137"/>
      <c r="AH22" s="108">
        <f t="shared" si="3"/>
        <v>9.3000000000000007</v>
      </c>
      <c r="AI22" s="153">
        <f t="shared" si="4"/>
        <v>9.3000000000000007</v>
      </c>
      <c r="AJ22" s="136"/>
      <c r="AK22" s="136"/>
      <c r="AL22" s="136"/>
      <c r="AM22" s="136"/>
      <c r="AN22" s="136"/>
      <c r="AO22" s="136"/>
      <c r="AP22" s="136"/>
      <c r="AQ22" s="137"/>
      <c r="AV22" s="11"/>
    </row>
    <row r="23" spans="1:48" ht="15" customHeight="1">
      <c r="A23" s="135"/>
      <c r="B23" s="136"/>
      <c r="C23" s="144"/>
      <c r="D23" s="144"/>
      <c r="E23" s="110">
        <v>20.399999999999999</v>
      </c>
      <c r="F23" s="144"/>
      <c r="G23" s="144"/>
      <c r="H23" s="144"/>
      <c r="I23" s="142"/>
      <c r="J23" s="144"/>
      <c r="K23" s="144"/>
      <c r="L23" s="144"/>
      <c r="M23" s="144"/>
      <c r="N23" s="144"/>
      <c r="O23" s="144"/>
      <c r="P23" s="144"/>
      <c r="Q23" s="144"/>
      <c r="R23" s="144"/>
      <c r="S23" s="144"/>
      <c r="T23" s="144"/>
      <c r="U23" s="144"/>
      <c r="V23" s="144"/>
      <c r="W23" s="144"/>
      <c r="X23" s="137">
        <f t="shared" si="0"/>
        <v>20.399999999999999</v>
      </c>
      <c r="Y23" s="138" t="s">
        <v>60</v>
      </c>
      <c r="Z23" s="135"/>
      <c r="AA23" s="136">
        <v>90</v>
      </c>
      <c r="AB23" s="136"/>
      <c r="AC23" s="137"/>
      <c r="AD23" s="135"/>
      <c r="AE23" s="137"/>
      <c r="AF23" s="135"/>
      <c r="AG23" s="137"/>
      <c r="AH23" s="108">
        <f t="shared" si="3"/>
        <v>18.36</v>
      </c>
      <c r="AI23" s="153"/>
      <c r="AJ23" s="136"/>
      <c r="AK23" s="136"/>
      <c r="AL23" s="136"/>
      <c r="AM23" s="136"/>
      <c r="AN23" s="136">
        <f>X23*AA23/100</f>
        <v>18.36</v>
      </c>
      <c r="AO23" s="136"/>
      <c r="AP23" s="136"/>
      <c r="AQ23" s="137"/>
      <c r="AV23" s="11"/>
    </row>
    <row r="24" spans="1:48" ht="15" customHeight="1">
      <c r="A24" s="135"/>
      <c r="B24" s="136"/>
      <c r="C24" s="144"/>
      <c r="D24" s="144"/>
      <c r="E24" s="144"/>
      <c r="F24" s="144"/>
      <c r="G24" s="144"/>
      <c r="H24" s="144"/>
      <c r="I24" s="110">
        <v>706.5</v>
      </c>
      <c r="J24" s="144"/>
      <c r="K24" s="144"/>
      <c r="L24" s="144"/>
      <c r="M24" s="144"/>
      <c r="N24" s="144"/>
      <c r="O24" s="144"/>
      <c r="P24" s="144"/>
      <c r="Q24" s="144"/>
      <c r="R24" s="144"/>
      <c r="S24" s="144"/>
      <c r="T24" s="144"/>
      <c r="U24" s="144"/>
      <c r="V24" s="144"/>
      <c r="W24" s="144"/>
      <c r="X24" s="137">
        <f t="shared" si="0"/>
        <v>706.5</v>
      </c>
      <c r="Y24" s="138" t="s">
        <v>61</v>
      </c>
      <c r="Z24" s="135"/>
      <c r="AA24" s="136">
        <v>90</v>
      </c>
      <c r="AB24" s="136"/>
      <c r="AC24" s="137"/>
      <c r="AD24" s="135"/>
      <c r="AE24" s="137"/>
      <c r="AF24" s="135"/>
      <c r="AG24" s="137"/>
      <c r="AH24" s="108">
        <f t="shared" si="3"/>
        <v>635.85</v>
      </c>
      <c r="AI24" s="153"/>
      <c r="AJ24" s="136"/>
      <c r="AK24" s="136"/>
      <c r="AL24" s="136"/>
      <c r="AM24" s="136"/>
      <c r="AN24" s="136">
        <f>X24*AA24/100</f>
        <v>635.85</v>
      </c>
      <c r="AO24" s="136"/>
      <c r="AP24" s="136"/>
      <c r="AQ24" s="137"/>
      <c r="AS24" s="11"/>
    </row>
    <row r="25" spans="1:48" ht="15" customHeight="1">
      <c r="A25" s="135"/>
      <c r="B25" s="136"/>
      <c r="C25" s="110"/>
      <c r="D25" s="110"/>
      <c r="E25" s="142"/>
      <c r="F25" s="142"/>
      <c r="G25" s="142"/>
      <c r="H25" s="142"/>
      <c r="I25" s="142"/>
      <c r="J25" s="142"/>
      <c r="K25" s="142"/>
      <c r="L25" s="142"/>
      <c r="M25" s="142"/>
      <c r="N25" s="142"/>
      <c r="O25" s="114"/>
      <c r="P25" s="142"/>
      <c r="Q25" s="142"/>
      <c r="R25" s="142"/>
      <c r="S25" s="110">
        <v>1</v>
      </c>
      <c r="T25" s="114"/>
      <c r="U25" s="142"/>
      <c r="V25" s="142"/>
      <c r="W25" s="110"/>
      <c r="X25" s="137">
        <f t="shared" si="0"/>
        <v>1</v>
      </c>
      <c r="Y25" s="138" t="s">
        <v>217</v>
      </c>
      <c r="Z25" s="135"/>
      <c r="AA25" s="136">
        <v>90</v>
      </c>
      <c r="AB25" s="136"/>
      <c r="AC25" s="137"/>
      <c r="AD25" s="135"/>
      <c r="AE25" s="137"/>
      <c r="AF25" s="135"/>
      <c r="AG25" s="137"/>
      <c r="AH25" s="108">
        <f t="shared" si="3"/>
        <v>0.9</v>
      </c>
      <c r="AI25" s="145"/>
      <c r="AJ25" s="144"/>
      <c r="AK25" s="144"/>
      <c r="AL25" s="144"/>
      <c r="AM25" s="144"/>
      <c r="AN25" s="144">
        <f>X25*AA25/100</f>
        <v>0.9</v>
      </c>
      <c r="AO25" s="144"/>
      <c r="AP25" s="144"/>
      <c r="AQ25" s="137"/>
      <c r="AR25" s="15"/>
      <c r="AS25" s="11"/>
    </row>
    <row r="26" spans="1:48" ht="15" customHeight="1">
      <c r="A26" s="135"/>
      <c r="B26" s="136"/>
      <c r="C26" s="136"/>
      <c r="D26" s="136"/>
      <c r="E26" s="136"/>
      <c r="F26" s="136"/>
      <c r="G26" s="136"/>
      <c r="H26" s="144"/>
      <c r="I26" s="144"/>
      <c r="J26" s="144"/>
      <c r="K26" s="144"/>
      <c r="L26" s="317">
        <f>42+153</f>
        <v>195</v>
      </c>
      <c r="M26" s="144"/>
      <c r="N26" s="144"/>
      <c r="O26" s="144"/>
      <c r="P26" s="144"/>
      <c r="Q26" s="144"/>
      <c r="R26" s="144"/>
      <c r="S26" s="144"/>
      <c r="T26" s="144"/>
      <c r="U26" s="144"/>
      <c r="V26" s="144"/>
      <c r="W26" s="144"/>
      <c r="X26" s="137">
        <f t="shared" si="0"/>
        <v>195</v>
      </c>
      <c r="Y26" s="138" t="s">
        <v>45</v>
      </c>
      <c r="Z26" s="136">
        <v>100</v>
      </c>
      <c r="AA26" s="136"/>
      <c r="AB26" s="136"/>
      <c r="AC26" s="137"/>
      <c r="AD26" s="135">
        <f>X26*Z26/100</f>
        <v>195</v>
      </c>
      <c r="AE26" s="137"/>
      <c r="AF26" s="135"/>
      <c r="AG26" s="137"/>
      <c r="AH26" s="108">
        <f t="shared" si="3"/>
        <v>0</v>
      </c>
      <c r="AI26" s="145"/>
      <c r="AJ26" s="144"/>
      <c r="AK26" s="144"/>
      <c r="AL26" s="144"/>
      <c r="AM26" s="144"/>
      <c r="AN26" s="144"/>
      <c r="AO26" s="144"/>
      <c r="AP26" s="144"/>
      <c r="AQ26" s="137"/>
      <c r="AV26" s="11"/>
    </row>
    <row r="27" spans="1:48" ht="15" customHeight="1">
      <c r="A27" s="135"/>
      <c r="B27" s="136"/>
      <c r="C27" s="136"/>
      <c r="D27" s="136"/>
      <c r="E27" s="136"/>
      <c r="F27" s="136"/>
      <c r="G27" s="136"/>
      <c r="H27" s="144"/>
      <c r="I27" s="144"/>
      <c r="J27" s="317">
        <f>1209.6+1311-325</f>
        <v>2195.6</v>
      </c>
      <c r="K27" s="144"/>
      <c r="L27" s="144"/>
      <c r="M27" s="144"/>
      <c r="N27" s="144"/>
      <c r="O27" s="144"/>
      <c r="P27" s="144"/>
      <c r="Q27" s="144"/>
      <c r="R27" s="144"/>
      <c r="S27" s="144"/>
      <c r="T27" s="144"/>
      <c r="U27" s="144"/>
      <c r="V27" s="144"/>
      <c r="W27" s="144"/>
      <c r="X27" s="137">
        <f t="shared" si="0"/>
        <v>2195.6</v>
      </c>
      <c r="Y27" s="138" t="s">
        <v>62</v>
      </c>
      <c r="Z27" s="136">
        <v>100</v>
      </c>
      <c r="AA27" s="136"/>
      <c r="AB27" s="136"/>
      <c r="AC27" s="137"/>
      <c r="AD27" s="135">
        <f>Z27*X27/100</f>
        <v>2195.6</v>
      </c>
      <c r="AE27" s="137"/>
      <c r="AF27" s="135"/>
      <c r="AG27" s="137"/>
      <c r="AH27" s="108">
        <f t="shared" si="3"/>
        <v>0</v>
      </c>
      <c r="AI27" s="145"/>
      <c r="AJ27" s="144"/>
      <c r="AK27" s="144"/>
      <c r="AL27" s="144"/>
      <c r="AM27" s="144"/>
      <c r="AN27" s="144"/>
      <c r="AO27" s="144"/>
      <c r="AP27" s="144"/>
      <c r="AQ27" s="137"/>
      <c r="AV27" s="11"/>
    </row>
    <row r="28" spans="1:48" ht="15" customHeight="1">
      <c r="A28" s="135"/>
      <c r="B28" s="136"/>
      <c r="C28" s="136"/>
      <c r="D28" s="136"/>
      <c r="E28" s="136"/>
      <c r="F28" s="136"/>
      <c r="G28" s="136"/>
      <c r="H28" s="144"/>
      <c r="I28" s="144"/>
      <c r="J28" s="110"/>
      <c r="K28" s="144"/>
      <c r="L28" s="144"/>
      <c r="M28" s="144"/>
      <c r="N28" s="144"/>
      <c r="O28" s="144"/>
      <c r="P28" s="144"/>
      <c r="Q28" s="144"/>
      <c r="R28" s="144"/>
      <c r="S28" s="144"/>
      <c r="T28" s="144"/>
      <c r="U28" s="144"/>
      <c r="V28" s="144"/>
      <c r="W28" s="144"/>
      <c r="X28" s="137">
        <f t="shared" si="0"/>
        <v>0</v>
      </c>
      <c r="Y28" s="138" t="s">
        <v>124</v>
      </c>
      <c r="Z28" s="140">
        <v>100</v>
      </c>
      <c r="AA28" s="144"/>
      <c r="AB28" s="144"/>
      <c r="AC28" s="139"/>
      <c r="AD28" s="140">
        <f>Z28*X28/100</f>
        <v>0</v>
      </c>
      <c r="AE28" s="139"/>
      <c r="AF28" s="135"/>
      <c r="AG28" s="137"/>
      <c r="AH28" s="108">
        <f t="shared" si="3"/>
        <v>0</v>
      </c>
      <c r="AI28" s="145"/>
      <c r="AJ28" s="144"/>
      <c r="AK28" s="144"/>
      <c r="AL28" s="144"/>
      <c r="AM28" s="144"/>
      <c r="AN28" s="144"/>
      <c r="AO28" s="144"/>
      <c r="AP28" s="144"/>
      <c r="AQ28" s="137"/>
    </row>
    <row r="29" spans="1:48" ht="15" customHeight="1">
      <c r="A29" s="135"/>
      <c r="B29" s="136"/>
      <c r="C29" s="136"/>
      <c r="D29" s="136"/>
      <c r="E29" s="136"/>
      <c r="F29" s="136"/>
      <c r="G29" s="136"/>
      <c r="H29" s="144"/>
      <c r="I29" s="144"/>
      <c r="J29" s="144"/>
      <c r="K29" s="110"/>
      <c r="L29" s="144"/>
      <c r="M29" s="144"/>
      <c r="N29" s="144"/>
      <c r="O29" s="144"/>
      <c r="P29" s="144"/>
      <c r="Q29" s="144"/>
      <c r="R29" s="144"/>
      <c r="S29" s="144"/>
      <c r="T29" s="144"/>
      <c r="U29" s="144"/>
      <c r="V29" s="144"/>
      <c r="W29" s="144"/>
      <c r="X29" s="137">
        <f t="shared" si="0"/>
        <v>0</v>
      </c>
      <c r="Y29" s="138" t="s">
        <v>7</v>
      </c>
      <c r="Z29" s="110">
        <v>100</v>
      </c>
      <c r="AA29" s="144"/>
      <c r="AB29" s="144"/>
      <c r="AC29" s="139"/>
      <c r="AD29" s="140">
        <f>Z29*X29/100</f>
        <v>0</v>
      </c>
      <c r="AE29" s="139"/>
      <c r="AF29" s="135"/>
      <c r="AG29" s="137"/>
      <c r="AH29" s="108">
        <f t="shared" si="3"/>
        <v>0</v>
      </c>
      <c r="AI29" s="145"/>
      <c r="AJ29" s="144"/>
      <c r="AK29" s="144"/>
      <c r="AL29" s="144"/>
      <c r="AM29" s="144"/>
      <c r="AN29" s="144"/>
      <c r="AO29" s="144"/>
      <c r="AP29" s="144"/>
      <c r="AQ29" s="137"/>
    </row>
    <row r="30" spans="1:48" ht="15" customHeight="1">
      <c r="A30" s="135"/>
      <c r="B30" s="136"/>
      <c r="C30" s="136"/>
      <c r="D30" s="136"/>
      <c r="E30" s="136"/>
      <c r="F30" s="136"/>
      <c r="G30" s="136"/>
      <c r="H30" s="144"/>
      <c r="I30" s="144"/>
      <c r="J30" s="144"/>
      <c r="K30" s="144"/>
      <c r="L30" s="144"/>
      <c r="M30" s="144"/>
      <c r="N30" s="144"/>
      <c r="O30" s="144"/>
      <c r="P30" s="144"/>
      <c r="Q30" s="144"/>
      <c r="R30" s="144"/>
      <c r="S30" s="144"/>
      <c r="T30" s="144"/>
      <c r="U30" s="144"/>
      <c r="V30" s="144"/>
      <c r="W30" s="144"/>
      <c r="X30" s="137">
        <f t="shared" si="0"/>
        <v>0</v>
      </c>
      <c r="Y30" s="138" t="s">
        <v>8</v>
      </c>
      <c r="Z30" s="144">
        <v>100</v>
      </c>
      <c r="AA30" s="144"/>
      <c r="AB30" s="144"/>
      <c r="AC30" s="139"/>
      <c r="AD30" s="140">
        <f>Z30*X30/100</f>
        <v>0</v>
      </c>
      <c r="AE30" s="139"/>
      <c r="AF30" s="135"/>
      <c r="AG30" s="137"/>
      <c r="AH30" s="108">
        <f t="shared" si="3"/>
        <v>0</v>
      </c>
      <c r="AI30" s="145"/>
      <c r="AJ30" s="144"/>
      <c r="AK30" s="144"/>
      <c r="AL30" s="144"/>
      <c r="AM30" s="144"/>
      <c r="AN30" s="144"/>
      <c r="AO30" s="144"/>
      <c r="AP30" s="144"/>
      <c r="AQ30" s="137"/>
    </row>
    <row r="31" spans="1:48" s="1" customFormat="1" ht="15" customHeight="1">
      <c r="A31" s="154"/>
      <c r="B31" s="136"/>
      <c r="C31" s="136"/>
      <c r="D31" s="136"/>
      <c r="E31" s="136"/>
      <c r="F31" s="136"/>
      <c r="G31" s="136"/>
      <c r="H31" s="144"/>
      <c r="I31" s="110">
        <f>-(O31+T31)*AA31%</f>
        <v>0</v>
      </c>
      <c r="J31" s="144"/>
      <c r="K31" s="144"/>
      <c r="L31" s="144"/>
      <c r="M31" s="144"/>
      <c r="N31" s="144"/>
      <c r="O31" s="144"/>
      <c r="P31" s="144"/>
      <c r="Q31" s="144"/>
      <c r="R31" s="144"/>
      <c r="S31" s="144"/>
      <c r="T31" s="144"/>
      <c r="U31" s="142"/>
      <c r="V31" s="142"/>
      <c r="W31" s="142"/>
      <c r="X31" s="137">
        <f t="shared" si="0"/>
        <v>0</v>
      </c>
      <c r="Y31" s="96" t="s">
        <v>216</v>
      </c>
      <c r="Z31" s="155"/>
      <c r="AA31" s="142">
        <v>100</v>
      </c>
      <c r="AB31" s="142"/>
      <c r="AC31" s="143"/>
      <c r="AD31" s="156"/>
      <c r="AE31" s="143"/>
      <c r="AF31" s="157"/>
      <c r="AG31" s="158"/>
      <c r="AH31" s="159"/>
      <c r="AI31" s="155"/>
      <c r="AJ31" s="142"/>
      <c r="AK31" s="142"/>
      <c r="AL31" s="142"/>
      <c r="AM31" s="142"/>
      <c r="AN31" s="142"/>
      <c r="AO31" s="142"/>
      <c r="AP31" s="142"/>
      <c r="AQ31" s="158"/>
    </row>
    <row r="32" spans="1:48" ht="15" customHeight="1">
      <c r="A32" s="136"/>
      <c r="B32" s="136"/>
      <c r="C32" s="160"/>
      <c r="D32" s="160"/>
      <c r="E32" s="160"/>
      <c r="F32" s="160"/>
      <c r="G32" s="160"/>
      <c r="H32" s="161"/>
      <c r="I32" s="115"/>
      <c r="J32" s="161"/>
      <c r="K32" s="161"/>
      <c r="L32" s="161"/>
      <c r="M32" s="161"/>
      <c r="N32" s="142"/>
      <c r="O32" s="115"/>
      <c r="P32" s="161"/>
      <c r="Q32" s="161"/>
      <c r="R32" s="161"/>
      <c r="S32" s="161"/>
      <c r="T32" s="115"/>
      <c r="U32" s="161"/>
      <c r="V32" s="161"/>
      <c r="W32" s="161"/>
      <c r="X32" s="137">
        <f t="shared" si="0"/>
        <v>0</v>
      </c>
      <c r="Y32" s="96" t="s">
        <v>215</v>
      </c>
      <c r="Z32" s="113"/>
      <c r="AA32" s="142"/>
      <c r="AB32" s="142"/>
      <c r="AC32" s="143"/>
      <c r="AD32" s="140">
        <f>X32*Z32/100</f>
        <v>0</v>
      </c>
      <c r="AE32" s="139"/>
      <c r="AF32" s="140">
        <f>X32*AB32/100</f>
        <v>0</v>
      </c>
      <c r="AG32" s="139"/>
      <c r="AH32" s="108">
        <f>SUM(AI32:AQ32)</f>
        <v>0</v>
      </c>
      <c r="AI32" s="145"/>
      <c r="AJ32" s="142"/>
      <c r="AK32" s="142"/>
      <c r="AL32" s="142"/>
      <c r="AM32" s="142"/>
      <c r="AN32" s="142"/>
      <c r="AO32" s="142"/>
      <c r="AP32" s="142"/>
      <c r="AQ32" s="137"/>
    </row>
    <row r="33" spans="1:44" ht="15" customHeight="1">
      <c r="A33" s="136"/>
      <c r="B33" s="136"/>
      <c r="C33" s="311">
        <f>9.3*0.96</f>
        <v>8.9280000000000008</v>
      </c>
      <c r="D33" s="115"/>
      <c r="E33" s="161"/>
      <c r="F33" s="161"/>
      <c r="G33" s="161"/>
      <c r="H33" s="161"/>
      <c r="I33" s="115"/>
      <c r="J33" s="161"/>
      <c r="K33" s="161"/>
      <c r="L33" s="161"/>
      <c r="M33" s="161"/>
      <c r="N33" s="161"/>
      <c r="O33" s="312">
        <f>(7.6*46%)*0.96</f>
        <v>3.35616</v>
      </c>
      <c r="P33" s="144"/>
      <c r="Q33" s="115"/>
      <c r="R33" s="312">
        <f>1915.4*0.96</f>
        <v>1838.7840000000001</v>
      </c>
      <c r="S33" s="312">
        <f>576.7*0.96</f>
        <v>553.63200000000006</v>
      </c>
      <c r="T33" s="312">
        <f>(7.6*54%)*0.96</f>
        <v>3.9398399999999998</v>
      </c>
      <c r="U33" s="161"/>
      <c r="V33" s="161"/>
      <c r="W33" s="161"/>
      <c r="X33" s="137">
        <f t="shared" si="0"/>
        <v>2408.6400000000003</v>
      </c>
      <c r="Y33" s="138" t="s">
        <v>39</v>
      </c>
      <c r="Z33" s="113">
        <v>19.600000000000001</v>
      </c>
      <c r="AA33" s="142"/>
      <c r="AB33" s="110">
        <v>79.7</v>
      </c>
      <c r="AC33" s="139"/>
      <c r="AD33" s="140">
        <f>X33*Z33/100</f>
        <v>472.0934400000001</v>
      </c>
      <c r="AE33" s="139"/>
      <c r="AF33" s="135">
        <f>X33*AB33/100</f>
        <v>1919.6860800000004</v>
      </c>
      <c r="AG33" s="137"/>
      <c r="AH33" s="108">
        <f t="shared" si="3"/>
        <v>0</v>
      </c>
      <c r="AI33" s="145"/>
      <c r="AJ33" s="144"/>
      <c r="AK33" s="144"/>
      <c r="AL33" s="144"/>
      <c r="AM33" s="144"/>
      <c r="AN33" s="144"/>
      <c r="AO33" s="144"/>
      <c r="AP33" s="144"/>
      <c r="AQ33" s="137"/>
    </row>
    <row r="34" spans="1:44" ht="15" customHeight="1">
      <c r="A34" s="136"/>
      <c r="B34" s="136"/>
      <c r="C34" s="161"/>
      <c r="D34" s="161"/>
      <c r="E34" s="161"/>
      <c r="F34" s="161"/>
      <c r="G34" s="161"/>
      <c r="H34" s="161"/>
      <c r="I34" s="161"/>
      <c r="J34" s="161"/>
      <c r="K34" s="161"/>
      <c r="L34" s="161"/>
      <c r="M34" s="161"/>
      <c r="N34" s="161"/>
      <c r="O34" s="161"/>
      <c r="P34" s="161"/>
      <c r="Q34" s="161"/>
      <c r="R34" s="161"/>
      <c r="S34" s="161"/>
      <c r="T34" s="161"/>
      <c r="U34" s="161"/>
      <c r="V34" s="161"/>
      <c r="W34" s="161"/>
      <c r="X34" s="137">
        <f t="shared" si="0"/>
        <v>0</v>
      </c>
      <c r="Y34" s="138" t="s">
        <v>40</v>
      </c>
      <c r="Z34" s="156"/>
      <c r="AA34" s="142"/>
      <c r="AB34" s="142"/>
      <c r="AC34" s="139"/>
      <c r="AD34" s="140">
        <f>X34*Z34/100</f>
        <v>0</v>
      </c>
      <c r="AE34" s="139"/>
      <c r="AF34" s="135">
        <f>X34*AB34</f>
        <v>0</v>
      </c>
      <c r="AG34" s="137"/>
      <c r="AH34" s="108">
        <f t="shared" si="3"/>
        <v>0</v>
      </c>
      <c r="AI34" s="145"/>
      <c r="AJ34" s="144"/>
      <c r="AK34" s="144"/>
      <c r="AL34" s="144"/>
      <c r="AM34" s="144"/>
      <c r="AN34" s="144"/>
      <c r="AO34" s="144"/>
      <c r="AP34" s="144"/>
      <c r="AQ34" s="137"/>
    </row>
    <row r="35" spans="1:44" ht="15" customHeight="1">
      <c r="A35" s="136"/>
      <c r="B35" s="136"/>
      <c r="C35" s="161"/>
      <c r="D35" s="161"/>
      <c r="E35" s="162"/>
      <c r="F35" s="161"/>
      <c r="G35" s="161"/>
      <c r="H35" s="161"/>
      <c r="I35" s="161"/>
      <c r="J35" s="161"/>
      <c r="K35" s="161"/>
      <c r="L35" s="161"/>
      <c r="M35" s="161"/>
      <c r="N35" s="161"/>
      <c r="O35" s="161"/>
      <c r="P35" s="161"/>
      <c r="Q35" s="161"/>
      <c r="R35" s="161"/>
      <c r="S35" s="161"/>
      <c r="T35" s="161"/>
      <c r="U35" s="161"/>
      <c r="V35" s="161"/>
      <c r="W35" s="161"/>
      <c r="X35" s="137">
        <f t="shared" si="0"/>
        <v>0</v>
      </c>
      <c r="Y35" s="138" t="s">
        <v>41</v>
      </c>
      <c r="Z35" s="156"/>
      <c r="AA35" s="142"/>
      <c r="AB35" s="142"/>
      <c r="AC35" s="139"/>
      <c r="AD35" s="140">
        <f>X35*Z35/100</f>
        <v>0</v>
      </c>
      <c r="AE35" s="139"/>
      <c r="AF35" s="135">
        <f>X35*AB35</f>
        <v>0</v>
      </c>
      <c r="AG35" s="137"/>
      <c r="AH35" s="108">
        <f t="shared" si="3"/>
        <v>0</v>
      </c>
      <c r="AI35" s="145"/>
      <c r="AJ35" s="144"/>
      <c r="AK35" s="144"/>
      <c r="AL35" s="144"/>
      <c r="AM35" s="144"/>
      <c r="AN35" s="144"/>
      <c r="AO35" s="144"/>
      <c r="AP35" s="144"/>
      <c r="AQ35" s="137"/>
    </row>
    <row r="36" spans="1:44" ht="15" customHeight="1">
      <c r="A36" s="136"/>
      <c r="B36" s="136"/>
      <c r="C36" s="161"/>
      <c r="D36" s="161"/>
      <c r="E36" s="312">
        <f>11.1*0.96</f>
        <v>10.655999999999999</v>
      </c>
      <c r="F36" s="161"/>
      <c r="G36" s="161"/>
      <c r="H36" s="161"/>
      <c r="I36" s="161"/>
      <c r="J36" s="161"/>
      <c r="K36" s="161"/>
      <c r="L36" s="161"/>
      <c r="M36" s="161"/>
      <c r="N36" s="161"/>
      <c r="O36" s="161"/>
      <c r="P36" s="312">
        <f>22.2*0.96</f>
        <v>21.311999999999998</v>
      </c>
      <c r="Q36" s="161"/>
      <c r="R36" s="161"/>
      <c r="S36" s="161"/>
      <c r="T36" s="161"/>
      <c r="U36" s="161"/>
      <c r="V36" s="161"/>
      <c r="W36" s="161"/>
      <c r="X36" s="137">
        <f t="shared" si="0"/>
        <v>31.967999999999996</v>
      </c>
      <c r="Y36" s="138" t="s">
        <v>42</v>
      </c>
      <c r="Z36" s="156"/>
      <c r="AA36" s="142"/>
      <c r="AB36" s="110">
        <v>89.2</v>
      </c>
      <c r="AC36" s="139"/>
      <c r="AD36" s="140"/>
      <c r="AE36" s="139"/>
      <c r="AF36" s="135">
        <f>X36*AB36/100</f>
        <v>28.515456</v>
      </c>
      <c r="AG36" s="137"/>
      <c r="AH36" s="108">
        <f t="shared" si="3"/>
        <v>0</v>
      </c>
      <c r="AI36" s="145"/>
      <c r="AJ36" s="144"/>
      <c r="AK36" s="144"/>
      <c r="AL36" s="144"/>
      <c r="AM36" s="144"/>
      <c r="AN36" s="144"/>
      <c r="AO36" s="144"/>
      <c r="AP36" s="144"/>
      <c r="AQ36" s="137"/>
    </row>
    <row r="37" spans="1:44" s="1" customFormat="1" ht="15" customHeight="1">
      <c r="A37" s="163"/>
      <c r="B37" s="163"/>
      <c r="C37" s="163"/>
      <c r="D37" s="142"/>
      <c r="E37" s="142"/>
      <c r="F37" s="142"/>
      <c r="G37" s="142"/>
      <c r="H37" s="142"/>
      <c r="I37" s="142"/>
      <c r="J37" s="142"/>
      <c r="K37" s="142"/>
      <c r="L37" s="142"/>
      <c r="M37" s="142"/>
      <c r="N37" s="110">
        <f>AF37-AE37</f>
        <v>0</v>
      </c>
      <c r="O37" s="142"/>
      <c r="P37" s="142"/>
      <c r="Q37" s="142"/>
      <c r="R37" s="142"/>
      <c r="S37" s="142"/>
      <c r="T37" s="142"/>
      <c r="U37" s="142"/>
      <c r="V37" s="142"/>
      <c r="W37" s="142"/>
      <c r="X37" s="137">
        <f t="shared" si="0"/>
        <v>0</v>
      </c>
      <c r="Y37" s="96" t="s">
        <v>213</v>
      </c>
      <c r="Z37" s="140"/>
      <c r="AA37" s="144"/>
      <c r="AB37" s="144"/>
      <c r="AC37" s="139"/>
      <c r="AD37" s="156">
        <f>-AE37/$D$2%</f>
        <v>0</v>
      </c>
      <c r="AE37" s="164"/>
      <c r="AF37" s="165">
        <f>AE37*AB37%</f>
        <v>0</v>
      </c>
      <c r="AG37" s="158"/>
      <c r="AH37" s="159"/>
      <c r="AI37" s="155"/>
      <c r="AJ37" s="155"/>
      <c r="AK37" s="142"/>
      <c r="AL37" s="142"/>
      <c r="AM37" s="142"/>
      <c r="AN37" s="142"/>
      <c r="AO37" s="142"/>
      <c r="AP37" s="142"/>
      <c r="AQ37" s="158"/>
    </row>
    <row r="38" spans="1:44" ht="15" customHeight="1">
      <c r="A38" s="163"/>
      <c r="B38" s="163"/>
      <c r="C38" s="163"/>
      <c r="D38" s="142"/>
      <c r="E38" s="142"/>
      <c r="F38" s="142"/>
      <c r="G38" s="142"/>
      <c r="H38" s="142"/>
      <c r="I38" s="142"/>
      <c r="J38" s="142"/>
      <c r="K38" s="142"/>
      <c r="L38" s="142"/>
      <c r="M38" s="142"/>
      <c r="N38" s="142"/>
      <c r="O38" s="142"/>
      <c r="P38" s="142"/>
      <c r="Q38" s="142"/>
      <c r="R38" s="142"/>
      <c r="S38" s="142"/>
      <c r="T38" s="142"/>
      <c r="U38" s="142"/>
      <c r="V38" s="142"/>
      <c r="W38" s="142"/>
      <c r="X38" s="137">
        <f t="shared" si="0"/>
        <v>0</v>
      </c>
      <c r="Y38" s="96" t="s">
        <v>214</v>
      </c>
      <c r="Z38" s="140"/>
      <c r="AA38" s="144"/>
      <c r="AB38" s="144"/>
      <c r="AC38" s="139"/>
      <c r="AD38" s="156">
        <f>-AE38/$D$2%</f>
        <v>0</v>
      </c>
      <c r="AE38" s="139"/>
      <c r="AF38" s="140">
        <f>AE38*AB38%</f>
        <v>0</v>
      </c>
      <c r="AG38" s="158"/>
      <c r="AH38" s="159"/>
      <c r="AI38" s="155"/>
      <c r="AJ38" s="155"/>
      <c r="AK38" s="142"/>
      <c r="AL38" s="142"/>
      <c r="AM38" s="142"/>
      <c r="AN38" s="142"/>
      <c r="AO38" s="142"/>
      <c r="AP38" s="142"/>
      <c r="AQ38" s="158"/>
    </row>
    <row r="39" spans="1:44" ht="15" customHeight="1">
      <c r="A39" s="136"/>
      <c r="B39" s="136"/>
      <c r="C39" s="161"/>
      <c r="D39" s="161"/>
      <c r="E39" s="161"/>
      <c r="F39" s="161"/>
      <c r="G39" s="161"/>
      <c r="H39" s="161"/>
      <c r="I39" s="161"/>
      <c r="J39" s="161"/>
      <c r="K39" s="161"/>
      <c r="L39" s="161"/>
      <c r="M39" s="161"/>
      <c r="N39" s="161"/>
      <c r="O39" s="161"/>
      <c r="P39" s="161"/>
      <c r="Q39" s="161"/>
      <c r="R39" s="161"/>
      <c r="S39" s="161"/>
      <c r="T39" s="161"/>
      <c r="U39" s="161"/>
      <c r="V39" s="161"/>
      <c r="W39" s="161"/>
      <c r="X39" s="137">
        <f t="shared" si="0"/>
        <v>0</v>
      </c>
      <c r="Y39" s="138" t="s">
        <v>63</v>
      </c>
      <c r="Z39" s="156"/>
      <c r="AA39" s="142"/>
      <c r="AB39" s="142"/>
      <c r="AC39" s="112">
        <f>100-22.83</f>
        <v>77.17</v>
      </c>
      <c r="AD39" s="140"/>
      <c r="AE39" s="139"/>
      <c r="AF39" s="135">
        <f>-SUM(AF33:AF38)</f>
        <v>-1948.2015360000005</v>
      </c>
      <c r="AG39" s="137">
        <f>-AF39*AC39/100</f>
        <v>1503.4271253312004</v>
      </c>
      <c r="AH39" s="108">
        <f>SUM(AI39:AQ39)</f>
        <v>1504.9305524565316</v>
      </c>
      <c r="AI39" s="111">
        <f>AG39*65.2%</f>
        <v>980.2344857159427</v>
      </c>
      <c r="AJ39" s="111">
        <f>AG39*9.9%</f>
        <v>148.83928540778885</v>
      </c>
      <c r="AK39" s="110">
        <f>AG39*13.3%</f>
        <v>199.95580766904968</v>
      </c>
      <c r="AL39" s="110">
        <f>AG39*7%</f>
        <v>105.23989877318404</v>
      </c>
      <c r="AM39" s="110">
        <f>AG39*0%</f>
        <v>0</v>
      </c>
      <c r="AN39" s="110">
        <f>AG39*3.2%</f>
        <v>48.109668010598412</v>
      </c>
      <c r="AO39" s="110">
        <f>AG39*1.5%</f>
        <v>22.551406879968006</v>
      </c>
      <c r="AP39" s="110"/>
      <c r="AQ39" s="137"/>
      <c r="AR39" s="19"/>
    </row>
    <row r="40" spans="1:44" ht="15" customHeight="1">
      <c r="A40" s="136"/>
      <c r="B40" s="136"/>
      <c r="C40" s="161"/>
      <c r="D40" s="161"/>
      <c r="E40" s="115"/>
      <c r="F40" s="161"/>
      <c r="G40" s="161"/>
      <c r="H40" s="161"/>
      <c r="I40" s="161"/>
      <c r="J40" s="161"/>
      <c r="K40" s="161"/>
      <c r="L40" s="161"/>
      <c r="M40" s="161"/>
      <c r="N40" s="161"/>
      <c r="O40" s="115"/>
      <c r="P40" s="161"/>
      <c r="Q40" s="115"/>
      <c r="R40" s="166"/>
      <c r="S40" s="115"/>
      <c r="T40" s="115"/>
      <c r="U40" s="115"/>
      <c r="V40" s="161"/>
      <c r="W40" s="115"/>
      <c r="X40" s="137">
        <f t="shared" si="0"/>
        <v>0</v>
      </c>
      <c r="Y40" s="138" t="s">
        <v>13</v>
      </c>
      <c r="Z40" s="113"/>
      <c r="AA40" s="142"/>
      <c r="AB40" s="110"/>
      <c r="AC40" s="143"/>
      <c r="AD40" s="140">
        <f>X40*Z40/100</f>
        <v>0</v>
      </c>
      <c r="AE40" s="139"/>
      <c r="AF40" s="135">
        <f>X40*AB40/100</f>
        <v>0</v>
      </c>
      <c r="AG40" s="137"/>
      <c r="AH40" s="108">
        <f t="shared" si="3"/>
        <v>0</v>
      </c>
      <c r="AI40" s="155"/>
      <c r="AJ40" s="142"/>
      <c r="AK40" s="142"/>
      <c r="AL40" s="142"/>
      <c r="AM40" s="142"/>
      <c r="AN40" s="142"/>
      <c r="AO40" s="142"/>
      <c r="AP40" s="144"/>
      <c r="AQ40" s="137"/>
    </row>
    <row r="41" spans="1:44" ht="15" customHeight="1">
      <c r="A41" s="136"/>
      <c r="B41" s="136"/>
      <c r="C41" s="161"/>
      <c r="D41" s="161"/>
      <c r="E41" s="115"/>
      <c r="F41" s="161"/>
      <c r="G41" s="161"/>
      <c r="H41" s="161"/>
      <c r="I41" s="161"/>
      <c r="J41" s="161"/>
      <c r="K41" s="161"/>
      <c r="L41" s="161"/>
      <c r="M41" s="161"/>
      <c r="N41" s="161"/>
      <c r="O41" s="161"/>
      <c r="P41" s="161"/>
      <c r="Q41" s="161"/>
      <c r="R41" s="161"/>
      <c r="S41" s="115"/>
      <c r="T41" s="161"/>
      <c r="U41" s="115"/>
      <c r="V41" s="161"/>
      <c r="W41" s="115"/>
      <c r="X41" s="137">
        <f t="shared" si="0"/>
        <v>0</v>
      </c>
      <c r="Y41" s="138" t="s">
        <v>14</v>
      </c>
      <c r="Z41" s="156"/>
      <c r="AA41" s="142"/>
      <c r="AB41" s="110"/>
      <c r="AC41" s="143"/>
      <c r="AD41" s="140">
        <f>X41*Z41/100</f>
        <v>0</v>
      </c>
      <c r="AE41" s="139"/>
      <c r="AF41" s="135">
        <f>X41*AB41/100</f>
        <v>0</v>
      </c>
      <c r="AG41" s="137"/>
      <c r="AH41" s="108">
        <f t="shared" si="3"/>
        <v>0</v>
      </c>
      <c r="AI41" s="155"/>
      <c r="AJ41" s="142"/>
      <c r="AK41" s="142"/>
      <c r="AL41" s="142"/>
      <c r="AM41" s="142"/>
      <c r="AN41" s="142"/>
      <c r="AO41" s="142"/>
      <c r="AP41" s="144"/>
      <c r="AQ41" s="137"/>
    </row>
    <row r="42" spans="1:44" ht="15" customHeight="1">
      <c r="A42" s="136"/>
      <c r="B42" s="144"/>
      <c r="C42" s="161"/>
      <c r="D42" s="161"/>
      <c r="E42" s="161"/>
      <c r="F42" s="161"/>
      <c r="G42" s="161"/>
      <c r="H42" s="161"/>
      <c r="I42" s="161"/>
      <c r="J42" s="161"/>
      <c r="K42" s="161"/>
      <c r="L42" s="161"/>
      <c r="M42" s="161"/>
      <c r="N42" s="161"/>
      <c r="O42" s="161"/>
      <c r="P42" s="161"/>
      <c r="Q42" s="161"/>
      <c r="R42" s="161"/>
      <c r="S42" s="161"/>
      <c r="T42" s="161"/>
      <c r="U42" s="115"/>
      <c r="V42" s="161"/>
      <c r="W42" s="115"/>
      <c r="X42" s="137">
        <f t="shared" si="0"/>
        <v>0</v>
      </c>
      <c r="Y42" s="138" t="s">
        <v>15</v>
      </c>
      <c r="Z42" s="156"/>
      <c r="AA42" s="142"/>
      <c r="AB42" s="142"/>
      <c r="AC42" s="143"/>
      <c r="AD42" s="140">
        <f>X42*Z42/100</f>
        <v>0</v>
      </c>
      <c r="AE42" s="139"/>
      <c r="AF42" s="135">
        <f>X42*AB42/100</f>
        <v>0</v>
      </c>
      <c r="AG42" s="137"/>
      <c r="AH42" s="108">
        <f t="shared" si="3"/>
        <v>0</v>
      </c>
      <c r="AI42" s="155"/>
      <c r="AJ42" s="142"/>
      <c r="AK42" s="142"/>
      <c r="AL42" s="142"/>
      <c r="AM42" s="142"/>
      <c r="AN42" s="142"/>
      <c r="AO42" s="142"/>
      <c r="AP42" s="144"/>
      <c r="AQ42" s="137"/>
    </row>
    <row r="43" spans="1:44" ht="15" customHeight="1">
      <c r="A43" s="136"/>
      <c r="B43" s="136"/>
      <c r="C43" s="161"/>
      <c r="D43" s="161"/>
      <c r="E43" s="161"/>
      <c r="F43" s="161"/>
      <c r="G43" s="161"/>
      <c r="H43" s="161"/>
      <c r="I43" s="161"/>
      <c r="J43" s="161"/>
      <c r="K43" s="161"/>
      <c r="L43" s="161"/>
      <c r="M43" s="161"/>
      <c r="N43" s="161"/>
      <c r="O43" s="161"/>
      <c r="P43" s="161"/>
      <c r="Q43" s="161"/>
      <c r="R43" s="161"/>
      <c r="S43" s="161"/>
      <c r="T43" s="161"/>
      <c r="U43" s="161"/>
      <c r="V43" s="161"/>
      <c r="W43" s="161"/>
      <c r="X43" s="137">
        <f t="shared" si="0"/>
        <v>0</v>
      </c>
      <c r="Y43" s="138" t="s">
        <v>64</v>
      </c>
      <c r="Z43" s="156"/>
      <c r="AA43" s="142"/>
      <c r="AB43" s="142"/>
      <c r="AC43" s="112">
        <f>100-22.83</f>
        <v>77.17</v>
      </c>
      <c r="AD43" s="140"/>
      <c r="AE43" s="139"/>
      <c r="AF43" s="135">
        <f>-SUM(AF40:AF42)</f>
        <v>0</v>
      </c>
      <c r="AG43" s="137">
        <f>-AF43*AC43/100</f>
        <v>0</v>
      </c>
      <c r="AH43" s="108">
        <f t="shared" si="3"/>
        <v>0</v>
      </c>
      <c r="AI43" s="111">
        <f>AG43*65.2%</f>
        <v>0</v>
      </c>
      <c r="AJ43" s="111">
        <f>AG43*9.9%</f>
        <v>0</v>
      </c>
      <c r="AK43" s="110">
        <f>AG43*13.3%</f>
        <v>0</v>
      </c>
      <c r="AL43" s="110">
        <f>AG43*7%</f>
        <v>0</v>
      </c>
      <c r="AM43" s="110">
        <f>AG43*0%</f>
        <v>0</v>
      </c>
      <c r="AN43" s="110">
        <f>AG43*3.2%</f>
        <v>0</v>
      </c>
      <c r="AO43" s="110">
        <f>AG43*1.5%</f>
        <v>0</v>
      </c>
      <c r="AP43" s="110"/>
      <c r="AQ43" s="137"/>
    </row>
    <row r="44" spans="1:44" ht="15" customHeight="1">
      <c r="A44" s="136"/>
      <c r="B44" s="110"/>
      <c r="C44" s="116"/>
      <c r="D44" s="161"/>
      <c r="E44" s="116"/>
      <c r="F44" s="161"/>
      <c r="G44" s="161"/>
      <c r="H44" s="161"/>
      <c r="I44" s="115"/>
      <c r="J44" s="161"/>
      <c r="K44" s="161"/>
      <c r="L44" s="161"/>
      <c r="M44" s="161"/>
      <c r="N44" s="161"/>
      <c r="O44" s="115"/>
      <c r="P44" s="161"/>
      <c r="Q44" s="116"/>
      <c r="R44" s="115"/>
      <c r="S44" s="115"/>
      <c r="T44" s="115"/>
      <c r="U44" s="115"/>
      <c r="V44" s="161"/>
      <c r="W44" s="115"/>
      <c r="X44" s="137">
        <f t="shared" si="0"/>
        <v>0</v>
      </c>
      <c r="Y44" s="138" t="s">
        <v>43</v>
      </c>
      <c r="Z44" s="113"/>
      <c r="AA44" s="142"/>
      <c r="AB44" s="110"/>
      <c r="AC44" s="143"/>
      <c r="AD44" s="135">
        <f>X44*Z44/100</f>
        <v>0</v>
      </c>
      <c r="AE44" s="137"/>
      <c r="AF44" s="135">
        <f t="shared" ref="AF44:AF51" si="5">X44*AB44/100</f>
        <v>0</v>
      </c>
      <c r="AG44" s="137"/>
      <c r="AH44" s="108">
        <f t="shared" si="3"/>
        <v>0</v>
      </c>
      <c r="AI44" s="145"/>
      <c r="AJ44" s="144"/>
      <c r="AK44" s="144"/>
      <c r="AL44" s="144"/>
      <c r="AM44" s="144"/>
      <c r="AN44" s="144"/>
      <c r="AO44" s="144"/>
      <c r="AP44" s="144"/>
      <c r="AQ44" s="137"/>
    </row>
    <row r="45" spans="1:44" ht="15" customHeight="1">
      <c r="A45" s="136"/>
      <c r="B45" s="144"/>
      <c r="C45" s="161"/>
      <c r="D45" s="161"/>
      <c r="E45" s="161"/>
      <c r="F45" s="161"/>
      <c r="G45" s="161"/>
      <c r="H45" s="161"/>
      <c r="I45" s="312">
        <f>(101.6-64.82)*0.96</f>
        <v>35.308799999999998</v>
      </c>
      <c r="J45" s="161"/>
      <c r="K45" s="161"/>
      <c r="L45" s="161"/>
      <c r="M45" s="161"/>
      <c r="N45" s="161"/>
      <c r="O45" s="115"/>
      <c r="P45" s="161"/>
      <c r="Q45" s="161"/>
      <c r="R45" s="161"/>
      <c r="S45" s="115"/>
      <c r="T45" s="115"/>
      <c r="U45" s="161"/>
      <c r="V45" s="161"/>
      <c r="W45" s="161"/>
      <c r="X45" s="137">
        <f t="shared" si="0"/>
        <v>35.308799999999998</v>
      </c>
      <c r="Y45" s="138" t="s">
        <v>44</v>
      </c>
      <c r="Z45" s="113">
        <v>39.1</v>
      </c>
      <c r="AA45" s="142"/>
      <c r="AB45" s="110">
        <v>53.4</v>
      </c>
      <c r="AC45" s="143"/>
      <c r="AD45" s="135">
        <f>X45*Z45/100</f>
        <v>13.805740799999999</v>
      </c>
      <c r="AE45" s="137"/>
      <c r="AF45" s="135">
        <f t="shared" si="5"/>
        <v>18.854899199999998</v>
      </c>
      <c r="AG45" s="137"/>
      <c r="AH45" s="108">
        <f t="shared" si="3"/>
        <v>0</v>
      </c>
      <c r="AI45" s="145"/>
      <c r="AJ45" s="144"/>
      <c r="AK45" s="144"/>
      <c r="AL45" s="144"/>
      <c r="AM45" s="144"/>
      <c r="AN45" s="144"/>
      <c r="AO45" s="144"/>
      <c r="AP45" s="144"/>
      <c r="AQ45" s="137"/>
    </row>
    <row r="46" spans="1:44" ht="15" customHeight="1">
      <c r="A46" s="136"/>
      <c r="B46" s="136"/>
      <c r="C46" s="161"/>
      <c r="D46" s="161"/>
      <c r="E46" s="161"/>
      <c r="F46" s="161"/>
      <c r="G46" s="161"/>
      <c r="H46" s="161"/>
      <c r="I46" s="115"/>
      <c r="J46" s="161"/>
      <c r="K46" s="161"/>
      <c r="L46" s="161"/>
      <c r="M46" s="161"/>
      <c r="N46" s="161"/>
      <c r="O46" s="161"/>
      <c r="P46" s="161"/>
      <c r="Q46" s="161"/>
      <c r="R46" s="161"/>
      <c r="S46" s="162"/>
      <c r="T46" s="161"/>
      <c r="U46" s="161"/>
      <c r="V46" s="161"/>
      <c r="W46" s="161"/>
      <c r="X46" s="137">
        <f t="shared" si="0"/>
        <v>0</v>
      </c>
      <c r="Y46" s="138" t="s">
        <v>29</v>
      </c>
      <c r="Z46" s="113"/>
      <c r="AA46" s="142"/>
      <c r="AB46" s="110"/>
      <c r="AC46" s="143"/>
      <c r="AD46" s="135">
        <f>X46*Z46/100</f>
        <v>0</v>
      </c>
      <c r="AE46" s="137"/>
      <c r="AF46" s="135">
        <f t="shared" si="5"/>
        <v>0</v>
      </c>
      <c r="AG46" s="137"/>
      <c r="AH46" s="108">
        <f t="shared" si="3"/>
        <v>0</v>
      </c>
      <c r="AI46" s="145"/>
      <c r="AJ46" s="144"/>
      <c r="AK46" s="144"/>
      <c r="AL46" s="144"/>
      <c r="AM46" s="144"/>
      <c r="AN46" s="144"/>
      <c r="AO46" s="144"/>
      <c r="AP46" s="144"/>
      <c r="AQ46" s="137"/>
    </row>
    <row r="47" spans="1:44" ht="15" customHeight="1">
      <c r="A47" s="136"/>
      <c r="B47" s="136"/>
      <c r="C47" s="161"/>
      <c r="D47" s="115"/>
      <c r="E47" s="115"/>
      <c r="F47" s="161"/>
      <c r="G47" s="161"/>
      <c r="H47" s="161"/>
      <c r="I47" s="312">
        <f>(54.3-18.6-12.338)*0.96</f>
        <v>22.427519999999994</v>
      </c>
      <c r="J47" s="161"/>
      <c r="K47" s="161"/>
      <c r="L47" s="161"/>
      <c r="M47" s="161"/>
      <c r="N47" s="161"/>
      <c r="O47" s="115"/>
      <c r="P47" s="115"/>
      <c r="Q47" s="312">
        <f>43*0.96</f>
        <v>41.28</v>
      </c>
      <c r="R47" s="115"/>
      <c r="S47" s="312">
        <f>18.9*0.96</f>
        <v>18.143999999999998</v>
      </c>
      <c r="T47" s="115"/>
      <c r="U47" s="161"/>
      <c r="V47" s="161"/>
      <c r="W47" s="161"/>
      <c r="X47" s="137">
        <f t="shared" si="0"/>
        <v>81.851519999999994</v>
      </c>
      <c r="Y47" s="138" t="s">
        <v>30</v>
      </c>
      <c r="Z47" s="156"/>
      <c r="AA47" s="142"/>
      <c r="AB47" s="110">
        <v>94.1</v>
      </c>
      <c r="AC47" s="143"/>
      <c r="AD47" s="135">
        <f>X47*Z47/100</f>
        <v>0</v>
      </c>
      <c r="AE47" s="137"/>
      <c r="AF47" s="135">
        <f t="shared" si="5"/>
        <v>77.022280319999993</v>
      </c>
      <c r="AG47" s="137"/>
      <c r="AH47" s="108">
        <f t="shared" si="3"/>
        <v>0</v>
      </c>
      <c r="AI47" s="145"/>
      <c r="AJ47" s="144"/>
      <c r="AK47" s="144"/>
      <c r="AL47" s="144"/>
      <c r="AM47" s="144"/>
      <c r="AN47" s="144"/>
      <c r="AO47" s="144"/>
      <c r="AP47" s="144"/>
      <c r="AQ47" s="137"/>
    </row>
    <row r="48" spans="1:44" s="1" customFormat="1" ht="15" customHeight="1">
      <c r="A48" s="163"/>
      <c r="B48" s="163"/>
      <c r="C48" s="160"/>
      <c r="D48" s="160"/>
      <c r="E48" s="160"/>
      <c r="F48" s="160"/>
      <c r="G48" s="160"/>
      <c r="H48" s="160"/>
      <c r="I48" s="161"/>
      <c r="J48" s="161"/>
      <c r="K48" s="160"/>
      <c r="L48" s="160"/>
      <c r="M48" s="160"/>
      <c r="N48" s="110">
        <f>AF48-AE48</f>
        <v>25</v>
      </c>
      <c r="O48" s="161"/>
      <c r="P48" s="161"/>
      <c r="Q48" s="161"/>
      <c r="R48" s="161"/>
      <c r="S48" s="161"/>
      <c r="T48" s="161"/>
      <c r="U48" s="161"/>
      <c r="V48" s="161"/>
      <c r="W48" s="161"/>
      <c r="X48" s="137">
        <f t="shared" si="0"/>
        <v>25</v>
      </c>
      <c r="Y48" s="138" t="s">
        <v>116</v>
      </c>
      <c r="Z48" s="140"/>
      <c r="AA48" s="144"/>
      <c r="AB48" s="311">
        <v>350</v>
      </c>
      <c r="AC48" s="139"/>
      <c r="AD48" s="156">
        <f>-AE48/$D$2%</f>
        <v>-10.887316276537833</v>
      </c>
      <c r="AE48" s="382">
        <v>10</v>
      </c>
      <c r="AF48" s="140">
        <f>AE48*AB48%</f>
        <v>35</v>
      </c>
      <c r="AG48" s="143"/>
      <c r="AH48" s="159"/>
      <c r="AI48" s="155"/>
      <c r="AJ48" s="142"/>
      <c r="AK48" s="142"/>
      <c r="AL48" s="142"/>
      <c r="AM48" s="142"/>
      <c r="AN48" s="142"/>
      <c r="AO48" s="142"/>
      <c r="AP48" s="142"/>
      <c r="AQ48" s="158"/>
    </row>
    <row r="49" spans="1:43" s="1" customFormat="1" ht="15" customHeight="1">
      <c r="A49" s="163"/>
      <c r="B49" s="163"/>
      <c r="C49" s="160"/>
      <c r="D49" s="160"/>
      <c r="E49" s="160"/>
      <c r="F49" s="160"/>
      <c r="G49" s="160"/>
      <c r="H49" s="160"/>
      <c r="I49" s="161"/>
      <c r="J49" s="161"/>
      <c r="K49" s="160"/>
      <c r="L49" s="160"/>
      <c r="M49" s="160"/>
      <c r="N49" s="144"/>
      <c r="O49" s="161"/>
      <c r="P49" s="161"/>
      <c r="Q49" s="161"/>
      <c r="R49" s="161"/>
      <c r="S49" s="161"/>
      <c r="T49" s="161"/>
      <c r="U49" s="161"/>
      <c r="V49" s="161"/>
      <c r="W49" s="161"/>
      <c r="X49" s="137">
        <f t="shared" si="0"/>
        <v>0</v>
      </c>
      <c r="Y49" s="138" t="s">
        <v>117</v>
      </c>
      <c r="Z49" s="140"/>
      <c r="AA49" s="144"/>
      <c r="AB49" s="110">
        <v>100.2</v>
      </c>
      <c r="AC49" s="139"/>
      <c r="AD49" s="156">
        <f>-AE49/$D$2%</f>
        <v>-13.432770821992378</v>
      </c>
      <c r="AE49" s="382">
        <v>12.337999999999999</v>
      </c>
      <c r="AF49" s="156">
        <f>AE49*AB49%</f>
        <v>12.362675999999999</v>
      </c>
      <c r="AG49" s="143"/>
      <c r="AH49" s="159"/>
      <c r="AI49" s="155"/>
      <c r="AJ49" s="142"/>
      <c r="AK49" s="142"/>
      <c r="AL49" s="142"/>
      <c r="AM49" s="142"/>
      <c r="AN49" s="142"/>
      <c r="AO49" s="142"/>
      <c r="AP49" s="142"/>
      <c r="AQ49" s="158"/>
    </row>
    <row r="50" spans="1:43" ht="15" customHeight="1">
      <c r="A50" s="136"/>
      <c r="B50" s="136"/>
      <c r="C50" s="160"/>
      <c r="D50" s="160"/>
      <c r="E50" s="160"/>
      <c r="F50" s="160"/>
      <c r="G50" s="160"/>
      <c r="H50" s="160"/>
      <c r="I50" s="160"/>
      <c r="J50" s="160"/>
      <c r="K50" s="160"/>
      <c r="L50" s="115"/>
      <c r="M50" s="160"/>
      <c r="N50" s="142"/>
      <c r="O50" s="161"/>
      <c r="P50" s="161"/>
      <c r="Q50" s="161"/>
      <c r="R50" s="161"/>
      <c r="S50" s="161"/>
      <c r="T50" s="161"/>
      <c r="U50" s="161"/>
      <c r="V50" s="161"/>
      <c r="W50" s="161"/>
      <c r="X50" s="137">
        <f t="shared" si="0"/>
        <v>0</v>
      </c>
      <c r="Y50" s="167" t="s">
        <v>36</v>
      </c>
      <c r="Z50" s="156"/>
      <c r="AA50" s="142"/>
      <c r="AB50" s="110">
        <v>100</v>
      </c>
      <c r="AC50" s="143"/>
      <c r="AD50" s="135"/>
      <c r="AE50" s="137"/>
      <c r="AF50" s="135">
        <f t="shared" si="5"/>
        <v>0</v>
      </c>
      <c r="AG50" s="137"/>
      <c r="AH50" s="108">
        <f t="shared" si="3"/>
        <v>0</v>
      </c>
      <c r="AI50" s="145"/>
      <c r="AJ50" s="144"/>
      <c r="AK50" s="144"/>
      <c r="AL50" s="144"/>
      <c r="AM50" s="144"/>
      <c r="AN50" s="144"/>
      <c r="AO50" s="144"/>
      <c r="AP50" s="144"/>
      <c r="AQ50" s="137"/>
    </row>
    <row r="51" spans="1:43" ht="15" customHeight="1">
      <c r="A51" s="144"/>
      <c r="B51" s="110"/>
      <c r="C51" s="161"/>
      <c r="D51" s="161"/>
      <c r="E51" s="115"/>
      <c r="F51" s="161"/>
      <c r="G51" s="161"/>
      <c r="H51" s="161"/>
      <c r="I51" s="115"/>
      <c r="J51" s="161"/>
      <c r="K51" s="161"/>
      <c r="L51" s="161"/>
      <c r="M51" s="161"/>
      <c r="N51" s="142"/>
      <c r="O51" s="161"/>
      <c r="P51" s="161"/>
      <c r="Q51" s="161"/>
      <c r="R51" s="115"/>
      <c r="S51" s="115"/>
      <c r="T51" s="161"/>
      <c r="U51" s="115"/>
      <c r="V51" s="161"/>
      <c r="W51" s="115"/>
      <c r="X51" s="137">
        <f t="shared" si="0"/>
        <v>0</v>
      </c>
      <c r="Y51" s="138" t="s">
        <v>31</v>
      </c>
      <c r="Z51" s="113"/>
      <c r="AA51" s="142"/>
      <c r="AB51" s="110"/>
      <c r="AC51" s="143"/>
      <c r="AD51" s="135">
        <f>X51*Z51/100</f>
        <v>0</v>
      </c>
      <c r="AE51" s="137"/>
      <c r="AF51" s="135">
        <f t="shared" si="5"/>
        <v>0</v>
      </c>
      <c r="AG51" s="137"/>
      <c r="AH51" s="108">
        <f t="shared" si="3"/>
        <v>0</v>
      </c>
      <c r="AI51" s="145"/>
      <c r="AJ51" s="144"/>
      <c r="AK51" s="144"/>
      <c r="AL51" s="144"/>
      <c r="AM51" s="144"/>
      <c r="AN51" s="144"/>
      <c r="AO51" s="144"/>
      <c r="AP51" s="144"/>
      <c r="AQ51" s="137"/>
    </row>
    <row r="52" spans="1:43" ht="15" customHeight="1">
      <c r="A52" s="136"/>
      <c r="B52" s="136"/>
      <c r="C52" s="160"/>
      <c r="D52" s="160"/>
      <c r="E52" s="160"/>
      <c r="F52" s="160"/>
      <c r="G52" s="160"/>
      <c r="H52" s="160"/>
      <c r="I52" s="160"/>
      <c r="J52" s="160"/>
      <c r="K52" s="160"/>
      <c r="L52" s="160"/>
      <c r="M52" s="160"/>
      <c r="N52" s="142"/>
      <c r="O52" s="161"/>
      <c r="P52" s="161"/>
      <c r="Q52" s="161"/>
      <c r="R52" s="161"/>
      <c r="S52" s="161"/>
      <c r="T52" s="161"/>
      <c r="U52" s="161"/>
      <c r="V52" s="161"/>
      <c r="W52" s="161"/>
      <c r="X52" s="137">
        <f t="shared" si="0"/>
        <v>0</v>
      </c>
      <c r="Y52" s="138" t="s">
        <v>65</v>
      </c>
      <c r="Z52" s="156"/>
      <c r="AA52" s="142"/>
      <c r="AB52" s="142"/>
      <c r="AC52" s="112">
        <f>100-22.83</f>
        <v>77.17</v>
      </c>
      <c r="AD52" s="140"/>
      <c r="AE52" s="139"/>
      <c r="AF52" s="140">
        <f>-SUM(AF44:AF51)</f>
        <v>-143.23985551999999</v>
      </c>
      <c r="AG52" s="139">
        <f>-AF52*AC52/100</f>
        <v>110.538196504784</v>
      </c>
      <c r="AH52" s="108">
        <f t="shared" si="3"/>
        <v>110.64873470128877</v>
      </c>
      <c r="AI52" s="111">
        <f>AG52*65.2%</f>
        <v>72.07090412111917</v>
      </c>
      <c r="AJ52" s="111">
        <f>AG52*9.9%</f>
        <v>10.943281453973617</v>
      </c>
      <c r="AK52" s="110">
        <f>AG52*13.3%</f>
        <v>14.701580135136272</v>
      </c>
      <c r="AL52" s="110">
        <f>AG52*7%</f>
        <v>7.7376737553348809</v>
      </c>
      <c r="AM52" s="110">
        <f>AG52*0%</f>
        <v>0</v>
      </c>
      <c r="AN52" s="110">
        <f>AG52*3.2%</f>
        <v>3.5372222881530879</v>
      </c>
      <c r="AO52" s="110">
        <f>AG52*1.5%</f>
        <v>1.6580729475717599</v>
      </c>
      <c r="AP52" s="110"/>
      <c r="AQ52" s="137"/>
    </row>
    <row r="53" spans="1:43" ht="15" customHeight="1">
      <c r="A53" s="136"/>
      <c r="B53" s="136"/>
      <c r="C53" s="160"/>
      <c r="D53" s="160"/>
      <c r="E53" s="115"/>
      <c r="F53" s="160"/>
      <c r="G53" s="160"/>
      <c r="H53" s="160"/>
      <c r="I53" s="115"/>
      <c r="J53" s="161"/>
      <c r="K53" s="161"/>
      <c r="L53" s="161"/>
      <c r="M53" s="161"/>
      <c r="N53" s="142"/>
      <c r="O53" s="115"/>
      <c r="P53" s="161"/>
      <c r="Q53" s="161"/>
      <c r="R53" s="161"/>
      <c r="S53" s="161"/>
      <c r="T53" s="115"/>
      <c r="U53" s="161"/>
      <c r="V53" s="312">
        <f>23.1*0.96</f>
        <v>22.176000000000002</v>
      </c>
      <c r="W53" s="161"/>
      <c r="X53" s="137">
        <f t="shared" si="0"/>
        <v>22.176000000000002</v>
      </c>
      <c r="Y53" s="138" t="s">
        <v>16</v>
      </c>
      <c r="Z53" s="113">
        <v>29.3</v>
      </c>
      <c r="AA53" s="142"/>
      <c r="AB53" s="110"/>
      <c r="AC53" s="143"/>
      <c r="AD53" s="140">
        <f>X53*Z53/100</f>
        <v>6.4975680000000011</v>
      </c>
      <c r="AE53" s="139"/>
      <c r="AF53" s="140">
        <f>X53*AB53/100</f>
        <v>0</v>
      </c>
      <c r="AG53" s="139"/>
      <c r="AH53" s="108">
        <f t="shared" ref="AH53:AH80" si="6">SUM(AI53:AQ53)</f>
        <v>0</v>
      </c>
      <c r="AI53" s="145"/>
      <c r="AJ53" s="142"/>
      <c r="AK53" s="142"/>
      <c r="AL53" s="142"/>
      <c r="AM53" s="142"/>
      <c r="AN53" s="142"/>
      <c r="AO53" s="142"/>
      <c r="AP53" s="142"/>
      <c r="AQ53" s="137"/>
    </row>
    <row r="54" spans="1:43" ht="15" customHeight="1">
      <c r="A54" s="136"/>
      <c r="B54" s="136"/>
      <c r="C54" s="160"/>
      <c r="D54" s="160"/>
      <c r="E54" s="160"/>
      <c r="F54" s="160"/>
      <c r="G54" s="160"/>
      <c r="H54" s="160"/>
      <c r="I54" s="115"/>
      <c r="J54" s="161"/>
      <c r="K54" s="161"/>
      <c r="L54" s="115"/>
      <c r="M54" s="161"/>
      <c r="N54" s="142"/>
      <c r="O54" s="115"/>
      <c r="P54" s="161"/>
      <c r="Q54" s="161"/>
      <c r="R54" s="161"/>
      <c r="S54" s="115"/>
      <c r="T54" s="115"/>
      <c r="U54" s="161"/>
      <c r="V54" s="161"/>
      <c r="W54" s="161"/>
      <c r="X54" s="151">
        <f t="shared" si="0"/>
        <v>0</v>
      </c>
      <c r="Y54" s="138" t="s">
        <v>17</v>
      </c>
      <c r="Z54" s="156"/>
      <c r="AA54" s="142"/>
      <c r="AB54" s="110"/>
      <c r="AC54" s="143"/>
      <c r="AD54" s="140">
        <f>X54*Z54/100</f>
        <v>0</v>
      </c>
      <c r="AE54" s="139"/>
      <c r="AF54" s="140">
        <f>X54*AB54/100</f>
        <v>0</v>
      </c>
      <c r="AG54" s="139"/>
      <c r="AH54" s="108">
        <f t="shared" si="6"/>
        <v>0</v>
      </c>
      <c r="AI54" s="145"/>
      <c r="AJ54" s="142"/>
      <c r="AK54" s="142"/>
      <c r="AL54" s="142"/>
      <c r="AM54" s="142"/>
      <c r="AN54" s="142"/>
      <c r="AO54" s="142"/>
      <c r="AP54" s="142"/>
      <c r="AQ54" s="137"/>
    </row>
    <row r="55" spans="1:43" ht="15" customHeight="1">
      <c r="A55" s="136"/>
      <c r="B55" s="136"/>
      <c r="C55" s="160"/>
      <c r="D55" s="160"/>
      <c r="E55" s="160"/>
      <c r="F55" s="160"/>
      <c r="G55" s="160"/>
      <c r="H55" s="160"/>
      <c r="I55" s="160"/>
      <c r="J55" s="160"/>
      <c r="K55" s="160"/>
      <c r="L55" s="160"/>
      <c r="M55" s="160"/>
      <c r="N55" s="142"/>
      <c r="O55" s="161"/>
      <c r="P55" s="161"/>
      <c r="Q55" s="161"/>
      <c r="R55" s="161"/>
      <c r="S55" s="161"/>
      <c r="T55" s="161"/>
      <c r="U55" s="161"/>
      <c r="V55" s="161"/>
      <c r="W55" s="161"/>
      <c r="X55" s="151">
        <f t="shared" si="0"/>
        <v>0</v>
      </c>
      <c r="Y55" s="138" t="s">
        <v>66</v>
      </c>
      <c r="Z55" s="156"/>
      <c r="AA55" s="142"/>
      <c r="AB55" s="142"/>
      <c r="AC55" s="112">
        <f>100-22.83</f>
        <v>77.17</v>
      </c>
      <c r="AD55" s="140"/>
      <c r="AE55" s="139"/>
      <c r="AF55" s="140">
        <f>-SUM(AF53:AF54)</f>
        <v>0</v>
      </c>
      <c r="AG55" s="139">
        <f>-AF55*AC55/100</f>
        <v>0</v>
      </c>
      <c r="AH55" s="108">
        <f t="shared" si="6"/>
        <v>0</v>
      </c>
      <c r="AI55" s="111">
        <f>AG55*65.2%</f>
        <v>0</v>
      </c>
      <c r="AJ55" s="111">
        <f>AG55*9.9%</f>
        <v>0</v>
      </c>
      <c r="AK55" s="110">
        <f>AG55*13.3%</f>
        <v>0</v>
      </c>
      <c r="AL55" s="110">
        <f>AG55*7%</f>
        <v>0</v>
      </c>
      <c r="AM55" s="110">
        <f>AG55*0%</f>
        <v>0</v>
      </c>
      <c r="AN55" s="110">
        <f>AG55*3.2%</f>
        <v>0</v>
      </c>
      <c r="AO55" s="110">
        <f>AG55*1.5%</f>
        <v>0</v>
      </c>
      <c r="AP55" s="110"/>
      <c r="AQ55" s="137"/>
    </row>
    <row r="56" spans="1:43" ht="15" customHeight="1">
      <c r="A56" s="136"/>
      <c r="B56" s="136"/>
      <c r="C56" s="160"/>
      <c r="D56" s="115"/>
      <c r="E56" s="312">
        <f>7.5*0.96</f>
        <v>7.1999999999999993</v>
      </c>
      <c r="F56" s="160"/>
      <c r="G56" s="160"/>
      <c r="H56" s="160"/>
      <c r="I56" s="312">
        <f>18.6*0.96-11.16</f>
        <v>6.6960000000000015</v>
      </c>
      <c r="J56" s="160"/>
      <c r="K56" s="160"/>
      <c r="L56" s="160"/>
      <c r="M56" s="160"/>
      <c r="N56" s="142"/>
      <c r="O56" s="115"/>
      <c r="P56" s="115"/>
      <c r="Q56" s="312">
        <f>59.3*0.96</f>
        <v>56.927999999999997</v>
      </c>
      <c r="R56" s="115"/>
      <c r="S56" s="115"/>
      <c r="T56" s="115"/>
      <c r="U56" s="161"/>
      <c r="V56" s="161"/>
      <c r="W56" s="161"/>
      <c r="X56" s="151">
        <f t="shared" si="0"/>
        <v>70.823999999999998</v>
      </c>
      <c r="Y56" s="138" t="s">
        <v>28</v>
      </c>
      <c r="Z56" s="156"/>
      <c r="AA56" s="142"/>
      <c r="AB56" s="110">
        <v>89.9</v>
      </c>
      <c r="AC56" s="143"/>
      <c r="AD56" s="140"/>
      <c r="AE56" s="139"/>
      <c r="AF56" s="140">
        <f>X56*AB56/100</f>
        <v>63.670776000000004</v>
      </c>
      <c r="AG56" s="139"/>
      <c r="AH56" s="108">
        <f t="shared" si="6"/>
        <v>0</v>
      </c>
      <c r="AI56" s="145"/>
      <c r="AJ56" s="144"/>
      <c r="AK56" s="144"/>
      <c r="AL56" s="144"/>
      <c r="AM56" s="144"/>
      <c r="AN56" s="144"/>
      <c r="AO56" s="144"/>
      <c r="AP56" s="144"/>
      <c r="AQ56" s="137"/>
    </row>
    <row r="57" spans="1:43" ht="15" customHeight="1">
      <c r="A57" s="136"/>
      <c r="B57" s="136"/>
      <c r="C57" s="168"/>
      <c r="D57" s="168"/>
      <c r="E57" s="168"/>
      <c r="F57" s="168"/>
      <c r="G57" s="168"/>
      <c r="H57" s="168"/>
      <c r="I57" s="169"/>
      <c r="J57" s="168"/>
      <c r="K57" s="168"/>
      <c r="L57" s="168"/>
      <c r="M57" s="168"/>
      <c r="N57" s="110">
        <f>AF57-AE57</f>
        <v>0</v>
      </c>
      <c r="O57" s="169"/>
      <c r="P57" s="169"/>
      <c r="Q57" s="169"/>
      <c r="R57" s="169"/>
      <c r="S57" s="169"/>
      <c r="T57" s="169"/>
      <c r="U57" s="169"/>
      <c r="V57" s="169"/>
      <c r="W57" s="169"/>
      <c r="X57" s="151">
        <f t="shared" si="0"/>
        <v>0</v>
      </c>
      <c r="Y57" s="138" t="s">
        <v>120</v>
      </c>
      <c r="Z57" s="140"/>
      <c r="AA57" s="144"/>
      <c r="AB57" s="110"/>
      <c r="AC57" s="139"/>
      <c r="AD57" s="140">
        <f>-AE57/$D$2%</f>
        <v>0</v>
      </c>
      <c r="AE57" s="112"/>
      <c r="AF57" s="140">
        <f>AE57*AB57%</f>
        <v>0</v>
      </c>
      <c r="AG57" s="137"/>
      <c r="AH57" s="108"/>
      <c r="AI57" s="145"/>
      <c r="AJ57" s="144"/>
      <c r="AK57" s="144"/>
      <c r="AL57" s="144"/>
      <c r="AM57" s="144"/>
      <c r="AN57" s="144"/>
      <c r="AO57" s="144"/>
      <c r="AP57" s="144"/>
      <c r="AQ57" s="137"/>
    </row>
    <row r="58" spans="1:43" ht="15" customHeight="1">
      <c r="A58" s="144"/>
      <c r="B58" s="144"/>
      <c r="C58" s="169"/>
      <c r="D58" s="169"/>
      <c r="E58" s="169"/>
      <c r="F58" s="169"/>
      <c r="G58" s="169"/>
      <c r="H58" s="169"/>
      <c r="I58" s="169"/>
      <c r="J58" s="169"/>
      <c r="K58" s="169"/>
      <c r="L58" s="169"/>
      <c r="M58" s="169"/>
      <c r="N58" s="169"/>
      <c r="O58" s="169"/>
      <c r="P58" s="169"/>
      <c r="Q58" s="169"/>
      <c r="R58" s="169"/>
      <c r="S58" s="169"/>
      <c r="T58" s="169"/>
      <c r="U58" s="169"/>
      <c r="V58" s="169"/>
      <c r="W58" s="169"/>
      <c r="X58" s="151">
        <f t="shared" si="0"/>
        <v>0</v>
      </c>
      <c r="Y58" s="138" t="s">
        <v>118</v>
      </c>
      <c r="Z58" s="140"/>
      <c r="AA58" s="144"/>
      <c r="AB58" s="110">
        <v>100</v>
      </c>
      <c r="AC58" s="139"/>
      <c r="AD58" s="140">
        <f>-AE58/$D$2%</f>
        <v>0</v>
      </c>
      <c r="AE58" s="112"/>
      <c r="AF58" s="156">
        <f>X58*AB58/100</f>
        <v>0</v>
      </c>
      <c r="AG58" s="139"/>
      <c r="AH58" s="108"/>
      <c r="AI58" s="145"/>
      <c r="AJ58" s="144"/>
      <c r="AK58" s="144"/>
      <c r="AL58" s="144"/>
      <c r="AM58" s="144"/>
      <c r="AN58" s="144"/>
      <c r="AO58" s="144"/>
      <c r="AP58" s="144"/>
      <c r="AQ58" s="137"/>
    </row>
    <row r="59" spans="1:43" ht="15" customHeight="1">
      <c r="A59" s="136"/>
      <c r="B59" s="136"/>
      <c r="C59" s="169"/>
      <c r="D59" s="169"/>
      <c r="E59" s="169"/>
      <c r="F59" s="169"/>
      <c r="G59" s="169"/>
      <c r="H59" s="169"/>
      <c r="I59" s="169"/>
      <c r="J59" s="169"/>
      <c r="K59" s="169"/>
      <c r="L59" s="169"/>
      <c r="M59" s="169"/>
      <c r="N59" s="169"/>
      <c r="O59" s="169"/>
      <c r="P59" s="169"/>
      <c r="Q59" s="169"/>
      <c r="R59" s="169"/>
      <c r="S59" s="169"/>
      <c r="T59" s="169"/>
      <c r="U59" s="169"/>
      <c r="V59" s="169"/>
      <c r="W59" s="169"/>
      <c r="X59" s="151">
        <f t="shared" si="0"/>
        <v>0</v>
      </c>
      <c r="Y59" s="138" t="s">
        <v>119</v>
      </c>
      <c r="Z59" s="140"/>
      <c r="AA59" s="144"/>
      <c r="AB59" s="144"/>
      <c r="AC59" s="139"/>
      <c r="AD59" s="140"/>
      <c r="AE59" s="139"/>
      <c r="AF59" s="140">
        <f>X59*AB59/100</f>
        <v>0</v>
      </c>
      <c r="AG59" s="139"/>
      <c r="AH59" s="108"/>
      <c r="AI59" s="145"/>
      <c r="AJ59" s="144"/>
      <c r="AK59" s="144"/>
      <c r="AL59" s="144"/>
      <c r="AM59" s="144"/>
      <c r="AN59" s="144"/>
      <c r="AO59" s="144"/>
      <c r="AP59" s="144"/>
      <c r="AQ59" s="137"/>
    </row>
    <row r="60" spans="1:43" ht="15" customHeight="1">
      <c r="A60" s="136"/>
      <c r="B60" s="136"/>
      <c r="C60" s="160"/>
      <c r="D60" s="160"/>
      <c r="E60" s="160"/>
      <c r="F60" s="160"/>
      <c r="G60" s="160"/>
      <c r="H60" s="160"/>
      <c r="I60" s="170"/>
      <c r="J60" s="160"/>
      <c r="K60" s="160"/>
      <c r="L60" s="312">
        <f>21.8+ 11.16</f>
        <v>32.96</v>
      </c>
      <c r="M60" s="160"/>
      <c r="N60" s="161"/>
      <c r="O60" s="161"/>
      <c r="P60" s="161"/>
      <c r="Q60" s="161"/>
      <c r="R60" s="161"/>
      <c r="S60" s="161"/>
      <c r="T60" s="161"/>
      <c r="U60" s="161"/>
      <c r="V60" s="161"/>
      <c r="W60" s="161"/>
      <c r="X60" s="151">
        <f t="shared" si="0"/>
        <v>32.96</v>
      </c>
      <c r="Y60" s="138" t="s">
        <v>247</v>
      </c>
      <c r="Z60" s="156"/>
      <c r="AA60" s="142"/>
      <c r="AB60" s="110">
        <v>100</v>
      </c>
      <c r="AC60" s="143"/>
      <c r="AD60" s="140"/>
      <c r="AE60" s="139"/>
      <c r="AF60" s="140">
        <f>X60*AB60/100</f>
        <v>32.96</v>
      </c>
      <c r="AG60" s="139"/>
      <c r="AH60" s="108">
        <f t="shared" si="6"/>
        <v>0</v>
      </c>
      <c r="AI60" s="145"/>
      <c r="AJ60" s="144"/>
      <c r="AK60" s="144"/>
      <c r="AL60" s="144"/>
      <c r="AM60" s="144"/>
      <c r="AN60" s="144"/>
      <c r="AO60" s="144"/>
      <c r="AP60" s="144"/>
      <c r="AQ60" s="137"/>
    </row>
    <row r="61" spans="1:43" ht="15" customHeight="1">
      <c r="A61" s="135"/>
      <c r="B61" s="136"/>
      <c r="C61" s="160"/>
      <c r="D61" s="160"/>
      <c r="E61" s="160"/>
      <c r="F61" s="160"/>
      <c r="G61" s="160"/>
      <c r="H61" s="160"/>
      <c r="I61" s="160"/>
      <c r="J61" s="160"/>
      <c r="K61" s="160"/>
      <c r="L61" s="160"/>
      <c r="M61" s="160"/>
      <c r="N61" s="161"/>
      <c r="O61" s="161"/>
      <c r="P61" s="161"/>
      <c r="Q61" s="161"/>
      <c r="R61" s="161"/>
      <c r="S61" s="161"/>
      <c r="T61" s="161"/>
      <c r="U61" s="161"/>
      <c r="V61" s="161"/>
      <c r="W61" s="161"/>
      <c r="X61" s="151">
        <f t="shared" si="0"/>
        <v>0</v>
      </c>
      <c r="Y61" s="138" t="s">
        <v>37</v>
      </c>
      <c r="Z61" s="156"/>
      <c r="AA61" s="142"/>
      <c r="AB61" s="142"/>
      <c r="AC61" s="143"/>
      <c r="AD61" s="140">
        <f>X61*Z61%</f>
        <v>0</v>
      </c>
      <c r="AE61" s="139"/>
      <c r="AF61" s="140">
        <f>X61*AB61%</f>
        <v>0</v>
      </c>
      <c r="AG61" s="139"/>
      <c r="AH61" s="108">
        <f t="shared" si="6"/>
        <v>0</v>
      </c>
      <c r="AI61" s="145"/>
      <c r="AJ61" s="144"/>
      <c r="AK61" s="144"/>
      <c r="AL61" s="144"/>
      <c r="AM61" s="144"/>
      <c r="AN61" s="144"/>
      <c r="AO61" s="144"/>
      <c r="AP61" s="144"/>
      <c r="AQ61" s="137"/>
    </row>
    <row r="62" spans="1:43" ht="15" customHeight="1">
      <c r="A62" s="136"/>
      <c r="B62" s="136"/>
      <c r="C62" s="160"/>
      <c r="D62" s="160"/>
      <c r="E62" s="160"/>
      <c r="F62" s="160"/>
      <c r="G62" s="160"/>
      <c r="H62" s="160"/>
      <c r="I62" s="170"/>
      <c r="J62" s="160"/>
      <c r="K62" s="160"/>
      <c r="L62" s="160"/>
      <c r="M62" s="160"/>
      <c r="N62" s="161"/>
      <c r="O62" s="160"/>
      <c r="P62" s="160"/>
      <c r="Q62" s="160"/>
      <c r="R62" s="160"/>
      <c r="S62" s="160"/>
      <c r="T62" s="160"/>
      <c r="U62" s="160"/>
      <c r="V62" s="160"/>
      <c r="W62" s="160"/>
      <c r="X62" s="151">
        <f t="shared" si="0"/>
        <v>0</v>
      </c>
      <c r="Y62" s="138" t="s">
        <v>115</v>
      </c>
      <c r="Z62" s="156"/>
      <c r="AA62" s="142"/>
      <c r="AB62" s="142"/>
      <c r="AC62" s="112">
        <f>100-22.83</f>
        <v>77.17</v>
      </c>
      <c r="AD62" s="140"/>
      <c r="AE62" s="139"/>
      <c r="AF62" s="157">
        <f>-SUM(AF56:AF61)</f>
        <v>-96.630775999999997</v>
      </c>
      <c r="AG62" s="139">
        <f>-AF62*AC62/100</f>
        <v>74.569969839199999</v>
      </c>
      <c r="AH62" s="108">
        <f t="shared" si="6"/>
        <v>74.644539809039202</v>
      </c>
      <c r="AI62" s="111">
        <f>AG62*65.2%</f>
        <v>48.619620335158402</v>
      </c>
      <c r="AJ62" s="111">
        <f>AG62*9.9%</f>
        <v>7.3824270140808004</v>
      </c>
      <c r="AK62" s="110">
        <f>AG62*13.3%</f>
        <v>9.9178059886136012</v>
      </c>
      <c r="AL62" s="110">
        <f>AG62*7%</f>
        <v>5.2198978887440006</v>
      </c>
      <c r="AM62" s="110">
        <f>AG62*0%</f>
        <v>0</v>
      </c>
      <c r="AN62" s="110">
        <f>AG62*3.2%</f>
        <v>2.3862390348544</v>
      </c>
      <c r="AO62" s="110">
        <f>AG62*1.5%</f>
        <v>1.1185495475879998</v>
      </c>
      <c r="AP62" s="110"/>
      <c r="AQ62" s="137"/>
    </row>
    <row r="63" spans="1:43" ht="15" customHeight="1">
      <c r="A63" s="136"/>
      <c r="B63" s="136"/>
      <c r="C63" s="160"/>
      <c r="D63" s="115"/>
      <c r="E63" s="160"/>
      <c r="F63" s="160"/>
      <c r="G63" s="160"/>
      <c r="H63" s="160"/>
      <c r="I63" s="161"/>
      <c r="J63" s="160"/>
      <c r="K63" s="160"/>
      <c r="L63" s="160"/>
      <c r="M63" s="160"/>
      <c r="N63" s="161"/>
      <c r="O63" s="160"/>
      <c r="P63" s="115"/>
      <c r="Q63" s="160"/>
      <c r="R63" s="160"/>
      <c r="S63" s="115"/>
      <c r="T63" s="160"/>
      <c r="U63" s="115"/>
      <c r="V63" s="160"/>
      <c r="W63" s="115"/>
      <c r="X63" s="151">
        <f t="shared" si="0"/>
        <v>0</v>
      </c>
      <c r="Y63" s="138" t="s">
        <v>20</v>
      </c>
      <c r="Z63" s="113"/>
      <c r="AA63" s="142"/>
      <c r="AB63" s="110"/>
      <c r="AC63" s="143"/>
      <c r="AD63" s="135">
        <f t="shared" ref="AD63:AD68" si="7">Z63/100*X63</f>
        <v>0</v>
      </c>
      <c r="AE63" s="137"/>
      <c r="AF63" s="135">
        <f>X63*AB63/100</f>
        <v>0</v>
      </c>
      <c r="AG63" s="137"/>
      <c r="AH63" s="108">
        <f t="shared" si="6"/>
        <v>0</v>
      </c>
      <c r="AI63" s="145"/>
      <c r="AJ63" s="144"/>
      <c r="AK63" s="144"/>
      <c r="AL63" s="144"/>
      <c r="AM63" s="144"/>
      <c r="AN63" s="144"/>
      <c r="AO63" s="144"/>
      <c r="AP63" s="144"/>
      <c r="AQ63" s="137"/>
    </row>
    <row r="64" spans="1:43" ht="15" customHeight="1">
      <c r="A64" s="136"/>
      <c r="B64" s="136"/>
      <c r="C64" s="160"/>
      <c r="D64" s="160"/>
      <c r="E64" s="160"/>
      <c r="F64" s="160"/>
      <c r="G64" s="160"/>
      <c r="H64" s="160"/>
      <c r="I64" s="115"/>
      <c r="J64" s="160"/>
      <c r="K64" s="160"/>
      <c r="L64" s="160"/>
      <c r="M64" s="160"/>
      <c r="N64" s="161"/>
      <c r="O64" s="115"/>
      <c r="P64" s="161"/>
      <c r="Q64" s="161"/>
      <c r="R64" s="161"/>
      <c r="S64" s="161"/>
      <c r="T64" s="115"/>
      <c r="U64" s="160"/>
      <c r="V64" s="160"/>
      <c r="W64" s="160"/>
      <c r="X64" s="151">
        <f t="shared" si="0"/>
        <v>0</v>
      </c>
      <c r="Y64" s="138" t="s">
        <v>21</v>
      </c>
      <c r="Z64" s="113"/>
      <c r="AA64" s="142"/>
      <c r="AB64" s="110"/>
      <c r="AC64" s="143"/>
      <c r="AD64" s="135">
        <f t="shared" si="7"/>
        <v>0</v>
      </c>
      <c r="AE64" s="137"/>
      <c r="AF64" s="135">
        <f>X64*AB64/100</f>
        <v>0</v>
      </c>
      <c r="AG64" s="137"/>
      <c r="AH64" s="108">
        <f t="shared" si="6"/>
        <v>0</v>
      </c>
      <c r="AI64" s="145"/>
      <c r="AJ64" s="144"/>
      <c r="AK64" s="144"/>
      <c r="AL64" s="144"/>
      <c r="AM64" s="144"/>
      <c r="AN64" s="144"/>
      <c r="AO64" s="144"/>
      <c r="AP64" s="144"/>
      <c r="AQ64" s="137"/>
    </row>
    <row r="65" spans="1:43" ht="15" customHeight="1">
      <c r="A65" s="136"/>
      <c r="B65" s="136"/>
      <c r="C65" s="160"/>
      <c r="D65" s="160"/>
      <c r="E65" s="115"/>
      <c r="F65" s="160"/>
      <c r="G65" s="160"/>
      <c r="H65" s="160"/>
      <c r="I65" s="115"/>
      <c r="J65" s="160"/>
      <c r="K65" s="160"/>
      <c r="L65" s="160"/>
      <c r="M65" s="160"/>
      <c r="N65" s="161"/>
      <c r="O65" s="160"/>
      <c r="P65" s="160"/>
      <c r="Q65" s="160"/>
      <c r="R65" s="160"/>
      <c r="S65" s="160"/>
      <c r="T65" s="160"/>
      <c r="U65" s="160"/>
      <c r="V65" s="160"/>
      <c r="W65" s="160"/>
      <c r="X65" s="151">
        <f t="shared" si="0"/>
        <v>0</v>
      </c>
      <c r="Y65" s="138" t="s">
        <v>22</v>
      </c>
      <c r="Z65" s="113"/>
      <c r="AA65" s="142"/>
      <c r="AB65" s="110"/>
      <c r="AC65" s="143"/>
      <c r="AD65" s="135">
        <f t="shared" si="7"/>
        <v>0</v>
      </c>
      <c r="AE65" s="137"/>
      <c r="AF65" s="135">
        <f>X65*AB65/100</f>
        <v>0</v>
      </c>
      <c r="AG65" s="137"/>
      <c r="AH65" s="108">
        <f t="shared" si="6"/>
        <v>0</v>
      </c>
      <c r="AI65" s="145"/>
      <c r="AJ65" s="144"/>
      <c r="AK65" s="144"/>
      <c r="AL65" s="144"/>
      <c r="AM65" s="144"/>
      <c r="AN65" s="144"/>
      <c r="AO65" s="144"/>
      <c r="AP65" s="144"/>
      <c r="AQ65" s="137"/>
    </row>
    <row r="66" spans="1:43" ht="15" customHeight="1">
      <c r="A66" s="136"/>
      <c r="B66" s="136"/>
      <c r="C66" s="144"/>
      <c r="D66" s="144"/>
      <c r="E66" s="110"/>
      <c r="F66" s="144"/>
      <c r="G66" s="144"/>
      <c r="H66" s="144"/>
      <c r="I66" s="110"/>
      <c r="J66" s="136"/>
      <c r="K66" s="136"/>
      <c r="L66" s="136"/>
      <c r="M66" s="136"/>
      <c r="N66" s="144"/>
      <c r="O66" s="110"/>
      <c r="P66" s="144"/>
      <c r="Q66" s="144"/>
      <c r="R66" s="110"/>
      <c r="S66" s="110"/>
      <c r="T66" s="110"/>
      <c r="U66" s="110"/>
      <c r="V66" s="144"/>
      <c r="W66" s="110"/>
      <c r="X66" s="151">
        <f t="shared" si="0"/>
        <v>0</v>
      </c>
      <c r="Y66" s="138" t="s">
        <v>23</v>
      </c>
      <c r="Z66" s="156"/>
      <c r="AA66" s="142"/>
      <c r="AB66" s="110"/>
      <c r="AC66" s="143"/>
      <c r="AD66" s="135">
        <f t="shared" si="7"/>
        <v>0</v>
      </c>
      <c r="AE66" s="137"/>
      <c r="AF66" s="135">
        <f>X66*AB66/100</f>
        <v>0</v>
      </c>
      <c r="AG66" s="137"/>
      <c r="AH66" s="108">
        <f t="shared" si="6"/>
        <v>0</v>
      </c>
      <c r="AI66" s="145"/>
      <c r="AJ66" s="144"/>
      <c r="AK66" s="144"/>
      <c r="AL66" s="144"/>
      <c r="AM66" s="144"/>
      <c r="AN66" s="144"/>
      <c r="AO66" s="144"/>
      <c r="AP66" s="144"/>
      <c r="AQ66" s="137"/>
    </row>
    <row r="67" spans="1:43" ht="15" customHeight="1">
      <c r="A67" s="136"/>
      <c r="B67" s="136"/>
      <c r="C67" s="144"/>
      <c r="D67" s="144"/>
      <c r="E67" s="144"/>
      <c r="F67" s="144"/>
      <c r="G67" s="144"/>
      <c r="H67" s="144"/>
      <c r="I67" s="144"/>
      <c r="J67" s="136"/>
      <c r="K67" s="136"/>
      <c r="L67" s="136"/>
      <c r="M67" s="136"/>
      <c r="N67" s="144"/>
      <c r="O67" s="136"/>
      <c r="P67" s="144"/>
      <c r="Q67" s="136"/>
      <c r="R67" s="136"/>
      <c r="S67" s="136"/>
      <c r="T67" s="136"/>
      <c r="U67" s="136"/>
      <c r="V67" s="144"/>
      <c r="W67" s="136"/>
      <c r="X67" s="151">
        <f t="shared" si="0"/>
        <v>0</v>
      </c>
      <c r="Y67" s="138" t="s">
        <v>24</v>
      </c>
      <c r="Z67" s="156"/>
      <c r="AA67" s="142"/>
      <c r="AB67" s="142"/>
      <c r="AC67" s="143"/>
      <c r="AD67" s="135">
        <f t="shared" si="7"/>
        <v>0</v>
      </c>
      <c r="AE67" s="137"/>
      <c r="AF67" s="135">
        <f>X67*AB67/100</f>
        <v>0</v>
      </c>
      <c r="AG67" s="137"/>
      <c r="AH67" s="108">
        <f t="shared" si="6"/>
        <v>0</v>
      </c>
      <c r="AI67" s="145"/>
      <c r="AJ67" s="144"/>
      <c r="AK67" s="144"/>
      <c r="AL67" s="144"/>
      <c r="AM67" s="144"/>
      <c r="AN67" s="144"/>
      <c r="AO67" s="144"/>
      <c r="AP67" s="144"/>
      <c r="AQ67" s="137"/>
    </row>
    <row r="68" spans="1:43" ht="15" customHeight="1">
      <c r="A68" s="136"/>
      <c r="B68" s="136"/>
      <c r="C68" s="144"/>
      <c r="D68" s="144"/>
      <c r="E68" s="144"/>
      <c r="F68" s="144"/>
      <c r="G68" s="144"/>
      <c r="H68" s="144"/>
      <c r="I68" s="144"/>
      <c r="J68" s="136"/>
      <c r="K68" s="136"/>
      <c r="L68" s="136"/>
      <c r="M68" s="136"/>
      <c r="N68" s="144"/>
      <c r="O68" s="136"/>
      <c r="P68" s="144"/>
      <c r="Q68" s="136"/>
      <c r="R68" s="110"/>
      <c r="S68" s="144"/>
      <c r="T68" s="136"/>
      <c r="U68" s="136"/>
      <c r="V68" s="144"/>
      <c r="W68" s="136"/>
      <c r="X68" s="151">
        <f t="shared" si="0"/>
        <v>0</v>
      </c>
      <c r="Y68" s="138" t="s">
        <v>25</v>
      </c>
      <c r="Z68" s="156"/>
      <c r="AA68" s="142"/>
      <c r="AB68" s="142">
        <v>100</v>
      </c>
      <c r="AC68" s="143"/>
      <c r="AD68" s="135">
        <f t="shared" si="7"/>
        <v>0</v>
      </c>
      <c r="AE68" s="112"/>
      <c r="AF68" s="140"/>
      <c r="AG68" s="137"/>
      <c r="AH68" s="108">
        <f t="shared" si="6"/>
        <v>0</v>
      </c>
      <c r="AI68" s="145"/>
      <c r="AJ68" s="144"/>
      <c r="AK68" s="144"/>
      <c r="AL68" s="144"/>
      <c r="AM68" s="144"/>
      <c r="AN68" s="144"/>
      <c r="AO68" s="144"/>
      <c r="AP68" s="144"/>
      <c r="AQ68" s="137"/>
    </row>
    <row r="69" spans="1:43" ht="15" customHeight="1">
      <c r="A69" s="136"/>
      <c r="B69" s="136"/>
      <c r="C69" s="136"/>
      <c r="D69" s="136"/>
      <c r="E69" s="136"/>
      <c r="F69" s="136"/>
      <c r="G69" s="136"/>
      <c r="H69" s="136"/>
      <c r="I69" s="136"/>
      <c r="J69" s="136"/>
      <c r="K69" s="136"/>
      <c r="L69" s="136"/>
      <c r="M69" s="136"/>
      <c r="N69" s="136"/>
      <c r="O69" s="136"/>
      <c r="P69" s="136"/>
      <c r="Q69" s="136"/>
      <c r="R69" s="136"/>
      <c r="S69" s="136"/>
      <c r="T69" s="136"/>
      <c r="U69" s="136"/>
      <c r="V69" s="144"/>
      <c r="W69" s="136"/>
      <c r="X69" s="151">
        <f t="shared" si="0"/>
        <v>0</v>
      </c>
      <c r="Y69" s="167" t="s">
        <v>26</v>
      </c>
      <c r="Z69" s="157"/>
      <c r="AA69" s="163"/>
      <c r="AB69" s="163"/>
      <c r="AC69" s="172"/>
      <c r="AD69" s="135">
        <f>-AE69</f>
        <v>0</v>
      </c>
      <c r="AE69" s="143">
        <f>0+0+0+0</f>
        <v>0</v>
      </c>
      <c r="AF69" s="156"/>
      <c r="AG69" s="137"/>
      <c r="AH69" s="108">
        <f t="shared" si="6"/>
        <v>0</v>
      </c>
      <c r="AI69" s="145"/>
      <c r="AJ69" s="144"/>
      <c r="AK69" s="144"/>
      <c r="AL69" s="144"/>
      <c r="AM69" s="144"/>
      <c r="AN69" s="144">
        <f>AE69</f>
        <v>0</v>
      </c>
      <c r="AO69" s="144"/>
      <c r="AP69" s="144"/>
      <c r="AQ69" s="137"/>
    </row>
    <row r="70" spans="1:43" ht="15" customHeight="1">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51">
        <f t="shared" si="0"/>
        <v>0</v>
      </c>
      <c r="Y70" s="167" t="s">
        <v>27</v>
      </c>
      <c r="Z70" s="157"/>
      <c r="AA70" s="163"/>
      <c r="AB70" s="163"/>
      <c r="AC70" s="143"/>
      <c r="AD70" s="135"/>
      <c r="AE70" s="143"/>
      <c r="AF70" s="156">
        <f>0-0-0-0</f>
        <v>0</v>
      </c>
      <c r="AG70" s="173"/>
      <c r="AH70" s="108">
        <f t="shared" si="6"/>
        <v>0</v>
      </c>
      <c r="AI70" s="145"/>
      <c r="AJ70" s="144"/>
      <c r="AK70" s="144"/>
      <c r="AL70" s="144"/>
      <c r="AM70" s="144"/>
      <c r="AN70" s="144">
        <f>-AF70</f>
        <v>0</v>
      </c>
      <c r="AO70" s="144"/>
      <c r="AP70" s="144"/>
      <c r="AQ70" s="137"/>
    </row>
    <row r="71" spans="1:43" ht="15" customHeight="1">
      <c r="A71" s="136"/>
      <c r="B71" s="136"/>
      <c r="C71" s="136"/>
      <c r="D71" s="136"/>
      <c r="E71" s="136"/>
      <c r="F71" s="136"/>
      <c r="G71" s="136"/>
      <c r="H71" s="136"/>
      <c r="I71" s="136"/>
      <c r="J71" s="136"/>
      <c r="K71" s="136"/>
      <c r="L71" s="136"/>
      <c r="M71" s="136"/>
      <c r="N71" s="136"/>
      <c r="O71" s="136"/>
      <c r="P71" s="144"/>
      <c r="Q71" s="136"/>
      <c r="R71" s="136"/>
      <c r="S71" s="136"/>
      <c r="T71" s="136"/>
      <c r="U71" s="136"/>
      <c r="V71" s="136"/>
      <c r="W71" s="136"/>
      <c r="X71" s="151">
        <f t="shared" si="0"/>
        <v>0</v>
      </c>
      <c r="Y71" s="138" t="s">
        <v>67</v>
      </c>
      <c r="Z71" s="157"/>
      <c r="AA71" s="163"/>
      <c r="AB71" s="163"/>
      <c r="AC71" s="112">
        <f>100-22.83</f>
        <v>77.17</v>
      </c>
      <c r="AD71" s="135"/>
      <c r="AE71" s="137"/>
      <c r="AF71" s="135">
        <f>-SUM(AF63:AF70)</f>
        <v>0</v>
      </c>
      <c r="AG71" s="137">
        <f>-AF71*AC71/100</f>
        <v>0</v>
      </c>
      <c r="AH71" s="108">
        <f t="shared" si="6"/>
        <v>0</v>
      </c>
      <c r="AI71" s="111">
        <f>AG71*65.2%</f>
        <v>0</v>
      </c>
      <c r="AJ71" s="111">
        <f>AG71*9.9%</f>
        <v>0</v>
      </c>
      <c r="AK71" s="110">
        <f>AG71*13.3%</f>
        <v>0</v>
      </c>
      <c r="AL71" s="110">
        <f>AG71*7%</f>
        <v>0</v>
      </c>
      <c r="AM71" s="110">
        <f>AG71*0%</f>
        <v>0</v>
      </c>
      <c r="AN71" s="110">
        <f>AG71*3.2%</f>
        <v>0</v>
      </c>
      <c r="AO71" s="110">
        <f>AG71*1.5%</f>
        <v>0</v>
      </c>
      <c r="AP71" s="110"/>
      <c r="AQ71" s="137"/>
    </row>
    <row r="72" spans="1:43" ht="15" customHeight="1">
      <c r="A72" s="135"/>
      <c r="B72" s="136"/>
      <c r="C72" s="136"/>
      <c r="D72" s="136"/>
      <c r="E72" s="136"/>
      <c r="F72" s="142"/>
      <c r="G72" s="142"/>
      <c r="H72" s="311">
        <f>1027.7*0.79*(100%-3.1%)</f>
        <v>786.71462700000006</v>
      </c>
      <c r="I72" s="142"/>
      <c r="J72" s="142"/>
      <c r="K72" s="142"/>
      <c r="L72" s="142"/>
      <c r="M72" s="142"/>
      <c r="N72" s="142"/>
      <c r="O72" s="142"/>
      <c r="P72" s="311">
        <f>1027.7*0.79*3.1%</f>
        <v>25.168373000000003</v>
      </c>
      <c r="Q72" s="136"/>
      <c r="R72" s="136"/>
      <c r="S72" s="136"/>
      <c r="T72" s="136"/>
      <c r="U72" s="136"/>
      <c r="V72" s="136"/>
      <c r="W72" s="136"/>
      <c r="X72" s="151">
        <f t="shared" si="0"/>
        <v>811.88300000000004</v>
      </c>
      <c r="Y72" s="138" t="s">
        <v>68</v>
      </c>
      <c r="Z72" s="135"/>
      <c r="AA72" s="136">
        <v>20</v>
      </c>
      <c r="AB72" s="136"/>
      <c r="AC72" s="137"/>
      <c r="AD72" s="135"/>
      <c r="AE72" s="137"/>
      <c r="AF72" s="135"/>
      <c r="AG72" s="137"/>
      <c r="AH72" s="108">
        <f t="shared" si="6"/>
        <v>162.3766</v>
      </c>
      <c r="AI72" s="153"/>
      <c r="AJ72" s="136"/>
      <c r="AK72" s="136"/>
      <c r="AL72" s="136"/>
      <c r="AM72" s="136"/>
      <c r="AN72" s="136"/>
      <c r="AO72" s="136"/>
      <c r="AP72" s="136"/>
      <c r="AQ72" s="137">
        <f>X72*AA72/100</f>
        <v>162.3766</v>
      </c>
    </row>
    <row r="73" spans="1:43" ht="15" customHeight="1">
      <c r="A73" s="135"/>
      <c r="B73" s="136"/>
      <c r="C73" s="136"/>
      <c r="D73" s="136"/>
      <c r="E73" s="136"/>
      <c r="F73" s="311">
        <f>813.1*0.79*(100%-6.7%)</f>
        <v>599.31161700000007</v>
      </c>
      <c r="G73" s="142"/>
      <c r="H73" s="142"/>
      <c r="I73" s="142"/>
      <c r="J73" s="142"/>
      <c r="K73" s="142"/>
      <c r="L73" s="142"/>
      <c r="M73" s="142"/>
      <c r="N73" s="142"/>
      <c r="O73" s="142"/>
      <c r="P73" s="311">
        <f>813.1*0.79*6.7%</f>
        <v>43.037383000000005</v>
      </c>
      <c r="Q73" s="136"/>
      <c r="R73" s="136"/>
      <c r="S73" s="136"/>
      <c r="T73" s="136"/>
      <c r="U73" s="136"/>
      <c r="V73" s="136"/>
      <c r="W73" s="136"/>
      <c r="X73" s="151">
        <f t="shared" si="0"/>
        <v>642.34900000000005</v>
      </c>
      <c r="Y73" s="138" t="s">
        <v>69</v>
      </c>
      <c r="Z73" s="135"/>
      <c r="AA73" s="136">
        <v>25</v>
      </c>
      <c r="AB73" s="136"/>
      <c r="AC73" s="137"/>
      <c r="AD73" s="135"/>
      <c r="AE73" s="137"/>
      <c r="AF73" s="135"/>
      <c r="AG73" s="137"/>
      <c r="AH73" s="108">
        <f t="shared" si="6"/>
        <v>160.58725000000001</v>
      </c>
      <c r="AI73" s="153"/>
      <c r="AJ73" s="136"/>
      <c r="AK73" s="136"/>
      <c r="AL73" s="136"/>
      <c r="AM73" s="136"/>
      <c r="AN73" s="136"/>
      <c r="AO73" s="136"/>
      <c r="AP73" s="136"/>
      <c r="AQ73" s="137">
        <f>X73*AA73/100</f>
        <v>160.58725000000001</v>
      </c>
    </row>
    <row r="74" spans="1:43" ht="15" customHeight="1">
      <c r="A74" s="135"/>
      <c r="B74" s="136"/>
      <c r="C74" s="136"/>
      <c r="D74" s="136"/>
      <c r="E74" s="136"/>
      <c r="F74" s="311">
        <f>327*0.79*(100%-6.7%)</f>
        <v>241.02188999999998</v>
      </c>
      <c r="G74" s="142"/>
      <c r="H74" s="142"/>
      <c r="I74" s="142"/>
      <c r="J74" s="142"/>
      <c r="K74" s="142"/>
      <c r="L74" s="142"/>
      <c r="M74" s="142"/>
      <c r="N74" s="142"/>
      <c r="O74" s="142"/>
      <c r="P74" s="311">
        <f>327*0.79*6.7%</f>
        <v>17.308109999999999</v>
      </c>
      <c r="Q74" s="136"/>
      <c r="R74" s="136"/>
      <c r="S74" s="136"/>
      <c r="T74" s="136"/>
      <c r="U74" s="136"/>
      <c r="V74" s="136"/>
      <c r="W74" s="136"/>
      <c r="X74" s="151">
        <f t="shared" si="0"/>
        <v>258.33</v>
      </c>
      <c r="Y74" s="138" t="s">
        <v>121</v>
      </c>
      <c r="Z74" s="135"/>
      <c r="AA74" s="136">
        <v>25</v>
      </c>
      <c r="AB74" s="136"/>
      <c r="AC74" s="137"/>
      <c r="AD74" s="135"/>
      <c r="AE74" s="137"/>
      <c r="AF74" s="135"/>
      <c r="AG74" s="137"/>
      <c r="AH74" s="108">
        <f t="shared" si="6"/>
        <v>64.582499999999996</v>
      </c>
      <c r="AI74" s="153"/>
      <c r="AJ74" s="136"/>
      <c r="AK74" s="136"/>
      <c r="AL74" s="136"/>
      <c r="AM74" s="136"/>
      <c r="AN74" s="136"/>
      <c r="AO74" s="136"/>
      <c r="AP74" s="136"/>
      <c r="AQ74" s="137">
        <f>X74*AA74/100</f>
        <v>64.582499999999996</v>
      </c>
    </row>
    <row r="75" spans="1:43" ht="15" customHeight="1">
      <c r="A75" s="135"/>
      <c r="B75" s="136"/>
      <c r="C75" s="136"/>
      <c r="D75" s="136"/>
      <c r="E75" s="136"/>
      <c r="F75" s="311">
        <f>112.7*1.06*(100%-6.7%)</f>
        <v>111.45804600000001</v>
      </c>
      <c r="G75" s="142"/>
      <c r="H75" s="142"/>
      <c r="I75" s="142"/>
      <c r="J75" s="142"/>
      <c r="K75" s="142"/>
      <c r="L75" s="142"/>
      <c r="M75" s="142"/>
      <c r="N75" s="142"/>
      <c r="O75" s="142"/>
      <c r="P75" s="311">
        <f>112.7*1.06*6.7%</f>
        <v>8.0039540000000002</v>
      </c>
      <c r="Q75" s="136"/>
      <c r="R75" s="136"/>
      <c r="S75" s="136"/>
      <c r="T75" s="136"/>
      <c r="U75" s="136"/>
      <c r="V75" s="136"/>
      <c r="W75" s="136"/>
      <c r="X75" s="151">
        <f t="shared" si="0"/>
        <v>119.46200000000002</v>
      </c>
      <c r="Y75" s="138" t="s">
        <v>9</v>
      </c>
      <c r="Z75" s="135"/>
      <c r="AA75" s="136">
        <v>33</v>
      </c>
      <c r="AB75" s="136"/>
      <c r="AC75" s="137"/>
      <c r="AD75" s="135"/>
      <c r="AE75" s="137"/>
      <c r="AF75" s="135"/>
      <c r="AG75" s="137"/>
      <c r="AH75" s="108">
        <f t="shared" si="6"/>
        <v>39.422460000000008</v>
      </c>
      <c r="AI75" s="153"/>
      <c r="AJ75" s="136"/>
      <c r="AK75" s="136"/>
      <c r="AL75" s="136"/>
      <c r="AM75" s="136"/>
      <c r="AN75" s="136"/>
      <c r="AO75" s="136"/>
      <c r="AP75" s="136"/>
      <c r="AQ75" s="137">
        <f>X75*AA75/100</f>
        <v>39.422460000000008</v>
      </c>
    </row>
    <row r="76" spans="1:43" ht="15" customHeight="1">
      <c r="A76" s="135"/>
      <c r="B76" s="136"/>
      <c r="C76" s="136"/>
      <c r="D76" s="136"/>
      <c r="E76" s="136"/>
      <c r="F76" s="311">
        <f>280.3*1.06*(100%-6.7%)</f>
        <v>277.21109400000006</v>
      </c>
      <c r="G76" s="142"/>
      <c r="H76" s="142"/>
      <c r="I76" s="142"/>
      <c r="J76" s="142"/>
      <c r="K76" s="142"/>
      <c r="L76" s="142"/>
      <c r="M76" s="142"/>
      <c r="N76" s="142"/>
      <c r="O76" s="142"/>
      <c r="P76" s="311">
        <f>280.3*6.7%</f>
        <v>18.780100000000001</v>
      </c>
      <c r="Q76" s="136"/>
      <c r="R76" s="136"/>
      <c r="S76" s="136"/>
      <c r="T76" s="136"/>
      <c r="U76" s="136"/>
      <c r="V76" s="136"/>
      <c r="W76" s="136"/>
      <c r="X76" s="137">
        <f>SUM(A76:W76)</f>
        <v>295.99119400000006</v>
      </c>
      <c r="Y76" s="138" t="s">
        <v>70</v>
      </c>
      <c r="Z76" s="135"/>
      <c r="AA76" s="136">
        <v>33</v>
      </c>
      <c r="AB76" s="136"/>
      <c r="AC76" s="137"/>
      <c r="AD76" s="135"/>
      <c r="AE76" s="137"/>
      <c r="AF76" s="135"/>
      <c r="AG76" s="137"/>
      <c r="AH76" s="108">
        <f t="shared" si="6"/>
        <v>97.677094020000027</v>
      </c>
      <c r="AI76" s="153"/>
      <c r="AJ76" s="136"/>
      <c r="AK76" s="136"/>
      <c r="AL76" s="136"/>
      <c r="AM76" s="136"/>
      <c r="AN76" s="136"/>
      <c r="AO76" s="136"/>
      <c r="AP76" s="136"/>
      <c r="AQ76" s="137">
        <f>X76*AA76/100</f>
        <v>97.677094020000027</v>
      </c>
    </row>
    <row r="77" spans="1:43" ht="15" customHeight="1">
      <c r="A77" s="135"/>
      <c r="B77" s="136"/>
      <c r="C77" s="136"/>
      <c r="D77" s="136"/>
      <c r="E77" s="136"/>
      <c r="F77" s="110">
        <v>266.8</v>
      </c>
      <c r="G77" s="142"/>
      <c r="H77" s="142"/>
      <c r="I77" s="142"/>
      <c r="J77" s="142"/>
      <c r="K77" s="142"/>
      <c r="L77" s="142"/>
      <c r="M77" s="142"/>
      <c r="N77" s="142"/>
      <c r="O77" s="142"/>
      <c r="P77" s="142"/>
      <c r="Q77" s="136"/>
      <c r="R77" s="136"/>
      <c r="S77" s="136"/>
      <c r="T77" s="136"/>
      <c r="U77" s="136"/>
      <c r="V77" s="136"/>
      <c r="W77" s="136"/>
      <c r="X77" s="137">
        <f>SUM(A77:W77)</f>
        <v>266.8</v>
      </c>
      <c r="Y77" s="138" t="s">
        <v>10</v>
      </c>
      <c r="Z77" s="135"/>
      <c r="AA77" s="136">
        <v>33</v>
      </c>
      <c r="AB77" s="136"/>
      <c r="AC77" s="137"/>
      <c r="AD77" s="135"/>
      <c r="AE77" s="137"/>
      <c r="AF77" s="135"/>
      <c r="AG77" s="137"/>
      <c r="AH77" s="108">
        <f t="shared" si="6"/>
        <v>88.044000000000011</v>
      </c>
      <c r="AI77" s="153"/>
      <c r="AJ77" s="136"/>
      <c r="AK77" s="136"/>
      <c r="AL77" s="136"/>
      <c r="AM77" s="136"/>
      <c r="AN77" s="136"/>
      <c r="AO77" s="136"/>
      <c r="AP77" s="136">
        <f>X77*AA77%</f>
        <v>88.044000000000011</v>
      </c>
      <c r="AQ77" s="137"/>
    </row>
    <row r="78" spans="1:43" ht="15" customHeight="1">
      <c r="A78" s="174"/>
      <c r="B78" s="175"/>
      <c r="C78" s="175"/>
      <c r="D78" s="176"/>
      <c r="E78" s="176"/>
      <c r="F78" s="313">
        <f>51.5*0.3</f>
        <v>15.45</v>
      </c>
      <c r="G78" s="176"/>
      <c r="H78" s="176"/>
      <c r="I78" s="176"/>
      <c r="J78" s="176"/>
      <c r="K78" s="175"/>
      <c r="L78" s="175"/>
      <c r="M78" s="175"/>
      <c r="N78" s="175"/>
      <c r="O78" s="175"/>
      <c r="P78" s="175"/>
      <c r="Q78" s="175"/>
      <c r="R78" s="175"/>
      <c r="S78" s="175"/>
      <c r="T78" s="175"/>
      <c r="U78" s="175"/>
      <c r="V78" s="175"/>
      <c r="W78" s="175"/>
      <c r="X78" s="137">
        <f>SUM(A78:W78)</f>
        <v>15.45</v>
      </c>
      <c r="Y78" s="177" t="s">
        <v>32</v>
      </c>
      <c r="Z78" s="174"/>
      <c r="AA78" s="136">
        <v>33</v>
      </c>
      <c r="AB78" s="175"/>
      <c r="AC78" s="178"/>
      <c r="AD78" s="135">
        <f>-AE78/$D$2%</f>
        <v>0</v>
      </c>
      <c r="AE78" s="179"/>
      <c r="AF78" s="174"/>
      <c r="AG78" s="178"/>
      <c r="AH78" s="108">
        <f t="shared" si="6"/>
        <v>5.0984999999999996</v>
      </c>
      <c r="AI78" s="180"/>
      <c r="AJ78" s="175"/>
      <c r="AK78" s="175"/>
      <c r="AL78" s="175"/>
      <c r="AM78" s="175"/>
      <c r="AN78" s="175"/>
      <c r="AO78" s="175"/>
      <c r="AP78" s="175"/>
      <c r="AQ78" s="137">
        <f>X78*AA78/100+AE78*AA78%</f>
        <v>5.0984999999999996</v>
      </c>
    </row>
    <row r="79" spans="1:43" ht="15" customHeight="1">
      <c r="A79" s="174"/>
      <c r="B79" s="175"/>
      <c r="C79" s="175"/>
      <c r="D79" s="176"/>
      <c r="E79" s="176"/>
      <c r="F79" s="176"/>
      <c r="G79" s="313">
        <f>760.2*1.07</f>
        <v>813.4140000000001</v>
      </c>
      <c r="H79" s="311">
        <f>0.8*1.07</f>
        <v>0.85600000000000009</v>
      </c>
      <c r="I79" s="176"/>
      <c r="J79" s="176"/>
      <c r="K79" s="175"/>
      <c r="L79" s="175"/>
      <c r="M79" s="175"/>
      <c r="N79" s="175"/>
      <c r="O79" s="175"/>
      <c r="P79" s="175"/>
      <c r="Q79" s="175"/>
      <c r="R79" s="175"/>
      <c r="S79" s="175"/>
      <c r="T79" s="175"/>
      <c r="U79" s="175"/>
      <c r="V79" s="175"/>
      <c r="W79" s="175"/>
      <c r="X79" s="137">
        <f>SUM(A79:W79)</f>
        <v>814.2700000000001</v>
      </c>
      <c r="Y79" s="177" t="s">
        <v>33</v>
      </c>
      <c r="Z79" s="174"/>
      <c r="AA79" s="136">
        <v>33</v>
      </c>
      <c r="AB79" s="175"/>
      <c r="AC79" s="178"/>
      <c r="AD79" s="174"/>
      <c r="AE79" s="178"/>
      <c r="AF79" s="174"/>
      <c r="AG79" s="178"/>
      <c r="AH79" s="108">
        <f t="shared" si="6"/>
        <v>268.70910000000003</v>
      </c>
      <c r="AI79" s="180"/>
      <c r="AJ79" s="175"/>
      <c r="AK79" s="175"/>
      <c r="AL79" s="175"/>
      <c r="AM79" s="175"/>
      <c r="AN79" s="175"/>
      <c r="AO79" s="175"/>
      <c r="AP79" s="175"/>
      <c r="AQ79" s="137">
        <f>X79*AA79/100</f>
        <v>268.70910000000003</v>
      </c>
    </row>
    <row r="80" spans="1:43" ht="15" customHeight="1" thickBot="1">
      <c r="A80" s="174"/>
      <c r="B80" s="175"/>
      <c r="C80" s="175"/>
      <c r="D80" s="313">
        <f>0.1*0.95</f>
        <v>9.5000000000000001E-2</v>
      </c>
      <c r="E80" s="176"/>
      <c r="F80" s="313">
        <f>108.6*0.95</f>
        <v>103.16999999999999</v>
      </c>
      <c r="G80" s="176"/>
      <c r="H80" s="176"/>
      <c r="I80" s="176"/>
      <c r="J80" s="176"/>
      <c r="K80" s="175"/>
      <c r="L80" s="175"/>
      <c r="M80" s="175"/>
      <c r="N80" s="175"/>
      <c r="O80" s="175"/>
      <c r="P80" s="175"/>
      <c r="Q80" s="175"/>
      <c r="R80" s="175"/>
      <c r="S80" s="175"/>
      <c r="T80" s="175"/>
      <c r="U80" s="175"/>
      <c r="V80" s="175"/>
      <c r="W80" s="175"/>
      <c r="X80" s="178">
        <f t="shared" si="0"/>
        <v>103.26499999999999</v>
      </c>
      <c r="Y80" s="181" t="s">
        <v>11</v>
      </c>
      <c r="Z80" s="182"/>
      <c r="AA80" s="136">
        <v>33</v>
      </c>
      <c r="AB80" s="183"/>
      <c r="AC80" s="184"/>
      <c r="AD80" s="182"/>
      <c r="AE80" s="184"/>
      <c r="AF80" s="182"/>
      <c r="AG80" s="184"/>
      <c r="AH80" s="109">
        <f t="shared" si="6"/>
        <v>34.077449999999992</v>
      </c>
      <c r="AI80" s="185"/>
      <c r="AJ80" s="183"/>
      <c r="AK80" s="183"/>
      <c r="AL80" s="183"/>
      <c r="AM80" s="183"/>
      <c r="AN80" s="183"/>
      <c r="AO80" s="183"/>
      <c r="AP80" s="183"/>
      <c r="AQ80" s="137">
        <f>X80*AA80/100</f>
        <v>34.077449999999992</v>
      </c>
    </row>
    <row r="81" spans="1:44" ht="15" customHeight="1" thickBot="1">
      <c r="A81" s="186">
        <f t="shared" ref="A81:W81" si="8">SUM(A8:A80)</f>
        <v>-988.62884322060302</v>
      </c>
      <c r="B81" s="187">
        <f t="shared" si="8"/>
        <v>43</v>
      </c>
      <c r="C81" s="187">
        <f t="shared" si="8"/>
        <v>8.9280000000000008</v>
      </c>
      <c r="D81" s="187">
        <f t="shared" si="8"/>
        <v>9.5000000000000001E-2</v>
      </c>
      <c r="E81" s="187">
        <f t="shared" si="8"/>
        <v>80.21759999999999</v>
      </c>
      <c r="F81" s="187">
        <f t="shared" si="8"/>
        <v>1614.4226470000001</v>
      </c>
      <c r="G81" s="187">
        <f t="shared" si="8"/>
        <v>813.4140000000001</v>
      </c>
      <c r="H81" s="187">
        <f t="shared" si="8"/>
        <v>787.57062700000006</v>
      </c>
      <c r="I81" s="187">
        <f t="shared" si="8"/>
        <v>1045.4923199999998</v>
      </c>
      <c r="J81" s="187">
        <f t="shared" si="8"/>
        <v>2195.6</v>
      </c>
      <c r="K81" s="187">
        <f t="shared" si="8"/>
        <v>0</v>
      </c>
      <c r="L81" s="187">
        <f t="shared" si="8"/>
        <v>237.26000000000002</v>
      </c>
      <c r="M81" s="187">
        <f t="shared" si="8"/>
        <v>0</v>
      </c>
      <c r="N81" s="187">
        <f t="shared" si="8"/>
        <v>105.99333333333333</v>
      </c>
      <c r="O81" s="187">
        <f t="shared" si="8"/>
        <v>3.35616</v>
      </c>
      <c r="P81" s="187">
        <f t="shared" si="8"/>
        <v>133.60992000000002</v>
      </c>
      <c r="Q81" s="187">
        <f t="shared" si="8"/>
        <v>183.36</v>
      </c>
      <c r="R81" s="187">
        <f t="shared" si="8"/>
        <v>2186.3040000000001</v>
      </c>
      <c r="S81" s="187">
        <f t="shared" si="8"/>
        <v>975.55400000000009</v>
      </c>
      <c r="T81" s="187">
        <f t="shared" si="8"/>
        <v>3.9398399999999998</v>
      </c>
      <c r="U81" s="187">
        <f t="shared" si="8"/>
        <v>0</v>
      </c>
      <c r="V81" s="187">
        <f t="shared" si="8"/>
        <v>22.176000000000002</v>
      </c>
      <c r="W81" s="187">
        <f t="shared" si="8"/>
        <v>0</v>
      </c>
      <c r="X81" s="188">
        <f>SUM(X8:X80)</f>
        <v>9451.6646041127296</v>
      </c>
      <c r="Y81" s="20" t="s">
        <v>2</v>
      </c>
      <c r="Z81" s="189"/>
      <c r="AA81" s="189"/>
      <c r="AB81" s="189"/>
      <c r="AC81" s="189"/>
      <c r="AD81" s="186">
        <f t="shared" ref="AD81:AQ81" si="9">SUM(AD8:AD80)</f>
        <v>6.6968652845389443E-13</v>
      </c>
      <c r="AE81" s="188">
        <f t="shared" si="9"/>
        <v>1739.9769212746753</v>
      </c>
      <c r="AF81" s="186">
        <f t="shared" si="9"/>
        <v>0</v>
      </c>
      <c r="AG81" s="188">
        <f t="shared" si="9"/>
        <v>1688.5352916751845</v>
      </c>
      <c r="AH81" s="20">
        <f t="shared" si="9"/>
        <v>5712.5573092299292</v>
      </c>
      <c r="AI81" s="190">
        <f t="shared" si="9"/>
        <v>2626.1712462283099</v>
      </c>
      <c r="AJ81" s="187">
        <f t="shared" si="9"/>
        <v>294.30251081140295</v>
      </c>
      <c r="AK81" s="187">
        <f t="shared" si="9"/>
        <v>325.34135483969146</v>
      </c>
      <c r="AL81" s="187">
        <f t="shared" si="9"/>
        <v>264.91719251593793</v>
      </c>
      <c r="AM81" s="187">
        <f t="shared" si="9"/>
        <v>12.772946267896687</v>
      </c>
      <c r="AN81" s="187">
        <f t="shared" si="9"/>
        <v>1027.6416693834171</v>
      </c>
      <c r="AO81" s="187">
        <f t="shared" si="9"/>
        <v>26.353084407795581</v>
      </c>
      <c r="AP81" s="187">
        <f t="shared" si="9"/>
        <v>159.18970075547767</v>
      </c>
      <c r="AQ81" s="188">
        <f t="shared" si="9"/>
        <v>975.86760402000004</v>
      </c>
    </row>
    <row r="82" spans="1:44" ht="15" customHeight="1">
      <c r="A82" s="150">
        <f t="shared" ref="A82:V82" si="10">A81*A89/1000</f>
        <v>0</v>
      </c>
      <c r="B82" s="147">
        <f t="shared" si="10"/>
        <v>2.7133000000000003</v>
      </c>
      <c r="C82" s="147">
        <f t="shared" si="10"/>
        <v>0.84771360000000018</v>
      </c>
      <c r="D82" s="147">
        <f t="shared" si="10"/>
        <v>7.4898000000000005E-3</v>
      </c>
      <c r="E82" s="147">
        <f t="shared" si="10"/>
        <v>5.9361023999999984</v>
      </c>
      <c r="F82" s="147">
        <f t="shared" si="10"/>
        <v>119.467275878</v>
      </c>
      <c r="G82" s="147">
        <f t="shared" si="10"/>
        <v>58.565808000000004</v>
      </c>
      <c r="H82" s="147">
        <f t="shared" si="10"/>
        <v>57.492655771000003</v>
      </c>
      <c r="I82" s="147">
        <f t="shared" si="10"/>
        <v>59.593062239999995</v>
      </c>
      <c r="J82" s="147">
        <f t="shared" si="10"/>
        <v>0</v>
      </c>
      <c r="K82" s="147">
        <f t="shared" si="10"/>
        <v>0</v>
      </c>
      <c r="L82" s="147">
        <f t="shared" si="10"/>
        <v>0</v>
      </c>
      <c r="M82" s="147">
        <f t="shared" si="10"/>
        <v>0</v>
      </c>
      <c r="N82" s="147">
        <v>0</v>
      </c>
      <c r="O82" s="147">
        <f t="shared" si="10"/>
        <v>0</v>
      </c>
      <c r="P82" s="147">
        <f t="shared" si="10"/>
        <v>0</v>
      </c>
      <c r="Q82" s="147">
        <f t="shared" si="10"/>
        <v>0</v>
      </c>
      <c r="R82" s="147">
        <f t="shared" si="10"/>
        <v>0</v>
      </c>
      <c r="S82" s="147">
        <f t="shared" si="10"/>
        <v>0</v>
      </c>
      <c r="T82" s="147">
        <f t="shared" si="10"/>
        <v>0</v>
      </c>
      <c r="U82" s="147">
        <f t="shared" si="10"/>
        <v>0</v>
      </c>
      <c r="V82" s="147">
        <f t="shared" si="10"/>
        <v>0</v>
      </c>
      <c r="W82" s="147">
        <f>W81*W89/1000</f>
        <v>0</v>
      </c>
      <c r="X82" s="151">
        <f>SUM(A82:W82)</f>
        <v>304.62340768899998</v>
      </c>
      <c r="Y82" s="21" t="s">
        <v>248</v>
      </c>
      <c r="Z82" s="191">
        <f>X82*1000/D1</f>
        <v>2.6688576107324335</v>
      </c>
      <c r="AA82" s="192" t="s">
        <v>12</v>
      </c>
      <c r="AB82" s="192"/>
      <c r="AC82" s="193"/>
      <c r="AD82" s="19"/>
      <c r="AE82" s="19"/>
      <c r="AF82" s="19"/>
      <c r="AG82" s="19"/>
      <c r="AH82" s="19"/>
      <c r="AI82" s="19"/>
      <c r="AJ82" s="19"/>
      <c r="AK82" s="19"/>
      <c r="AL82" s="19"/>
      <c r="AM82" s="19"/>
      <c r="AN82" s="19"/>
      <c r="AO82" s="19"/>
      <c r="AP82" s="19"/>
      <c r="AQ82" s="19"/>
    </row>
    <row r="83" spans="1:44" ht="15" customHeight="1">
      <c r="A83" s="135"/>
      <c r="B83" s="136"/>
      <c r="C83" s="136"/>
      <c r="D83" s="136"/>
      <c r="E83" s="136"/>
      <c r="F83" s="136"/>
      <c r="G83" s="136"/>
      <c r="H83" s="136"/>
      <c r="I83" s="136"/>
      <c r="J83" s="136"/>
      <c r="K83" s="136"/>
      <c r="L83" s="136"/>
      <c r="M83" s="136"/>
      <c r="N83" s="136"/>
      <c r="O83" s="110">
        <v>263</v>
      </c>
      <c r="P83" s="110">
        <v>956</v>
      </c>
      <c r="Q83" s="110">
        <v>946</v>
      </c>
      <c r="R83" s="110">
        <v>438</v>
      </c>
      <c r="S83" s="136"/>
      <c r="T83" s="136"/>
      <c r="U83" s="136"/>
      <c r="V83" s="136"/>
      <c r="W83" s="136"/>
      <c r="X83" s="137">
        <f>SUM(A83:W83)</f>
        <v>2603</v>
      </c>
      <c r="Y83" s="108" t="s">
        <v>35</v>
      </c>
      <c r="Z83" s="93">
        <f>(SUM(J14:V14)+AD15*A87%+SUM(J19:V19)+SUM(J20:V20)+SUM(J21:V21)+SUM(J22:V22)+SUM(J25:V25)+SUM(J72:V72)+SUM(J73:V73)+SUM(J74:V74)+SUM(J75:V75)+SUM(J76:V76)+SUM(J77:V77)+SUM(J78:V78)+SUM(J79:V79)+SUM(J80:V80)+SUM(J26:V26)*(Z26%+AB26%)+SUM(J27:V27)*(Z27%+AB27%)+SUM(J28:V28)*(Z28%+AB28%)+SUM(J29:V29)*(Z29%+AB29%)+SUM(J30:V30)*(Z30%+AB30%)+SUM(J32:V32)*(Z32%+AA32%+AB32%)+SUM(J31:V31)*(AA31%)+SUM(J33:V33)*(Z33%+AB33%)+SUM(J34:V34)*(Z34%+AB34%)+SUM(J35:V35)*(Z35%+AB35%)+SUM(J36:V36)*(Z36%+AB36%)+SUM(J37:V37)+SUM(J40:V40)*(Z40%+AB40%)+SUM(J41:V41)*(Z41%+AB41%)+SUM(J42:V42)*(Z42%+AB42%)+SUM(J44:V44)*(Z44%+AB44%)+SUM(J45:V45)*(Z45%+AB45%)+SUM(J46:V46)*(Z46%+AB46%)+SUM(J47:V47)*(Z47%+AB47%)+SUM(J48:V48)+SUM(J50:V50)*(Z50%+AB50%)+SUM(J51:V51)*(Z51%+AB51%)+SUM(J53:V53)*(Z53%+AA53%+AB53%)+SUM(J54:V54)*(Z54%+AA54%+AB54%)+SUM(J56:V56)*(Z56%+AB56%)+SUM(J57:V57)+SUM(J59:V59)*(Z59%+AB59%)+SUM(J60:V60)*(Z60%+AB60%)+SUM(J61:V61)*(Z61%+AB61%)+SUM(J63:V63)*(Z63%+AB63%)+SUM(J64:V64)*(Z64%+AB64%)+SUM(J65:V65)*(Z65%+AB65%)+SUM(J66:V66)*(Z66%+AB66%)+SUM(J67:V67)*(Z67%+AB67%)+SUM(J68:V68)*(Z68%+AB68%))/(SUM(X8:X14)+SUM(X16:X25)+X32*AA32%+X53*AA53%+X54*AA54%+SUM(X72:X80)+(AG39/AC39%+AG43/AC43%+AG52/AC52%+AG55/AC55%+AG62/AC62%+AG71/AC71%)+AE81+SUM(AE8:AE14)*(1-D2%)+(-AF70))*100</f>
        <v>53.294607302499983</v>
      </c>
      <c r="AA83" s="2" t="s">
        <v>210</v>
      </c>
      <c r="AB83" s="2"/>
      <c r="AC83" s="117"/>
      <c r="AD83" s="19"/>
      <c r="AE83" s="19"/>
      <c r="AF83" s="19"/>
      <c r="AG83" s="19"/>
      <c r="AH83" s="19"/>
      <c r="AI83" s="19"/>
      <c r="AJ83" s="19"/>
      <c r="AK83" s="19"/>
      <c r="AL83" s="19"/>
      <c r="AM83" s="19"/>
      <c r="AN83" s="19"/>
      <c r="AO83" s="19"/>
      <c r="AP83" s="19"/>
      <c r="AQ83" s="19"/>
    </row>
    <row r="84" spans="1:44" ht="15" customHeight="1" thickBot="1">
      <c r="A84" s="182"/>
      <c r="B84" s="183"/>
      <c r="C84" s="183"/>
      <c r="D84" s="183"/>
      <c r="E84" s="183"/>
      <c r="F84" s="183"/>
      <c r="G84" s="183"/>
      <c r="H84" s="183"/>
      <c r="I84" s="183"/>
      <c r="J84" s="183" t="str">
        <f>IF(J83&gt;0,J81/J83*100,"")</f>
        <v/>
      </c>
      <c r="K84" s="183" t="str">
        <f t="shared" ref="K84:W84" si="11">IF(K83&gt;0,K81/K83*100,"")</f>
        <v/>
      </c>
      <c r="L84" s="183" t="str">
        <f t="shared" si="11"/>
        <v/>
      </c>
      <c r="M84" s="183" t="str">
        <f t="shared" si="11"/>
        <v/>
      </c>
      <c r="N84" s="183" t="str">
        <f t="shared" si="11"/>
        <v/>
      </c>
      <c r="O84" s="183">
        <f t="shared" si="11"/>
        <v>1.276106463878327</v>
      </c>
      <c r="P84" s="183">
        <f t="shared" si="11"/>
        <v>13.975933054393309</v>
      </c>
      <c r="Q84" s="183">
        <f t="shared" si="11"/>
        <v>19.38266384778013</v>
      </c>
      <c r="R84" s="183">
        <f t="shared" si="11"/>
        <v>499.15616438356165</v>
      </c>
      <c r="S84" s="183" t="str">
        <f t="shared" si="11"/>
        <v/>
      </c>
      <c r="T84" s="183" t="str">
        <f t="shared" si="11"/>
        <v/>
      </c>
      <c r="U84" s="183" t="str">
        <f t="shared" si="11"/>
        <v/>
      </c>
      <c r="V84" s="183" t="str">
        <f>IF(V83&gt;0,V81/V83*100,"")</f>
        <v/>
      </c>
      <c r="W84" s="183" t="str">
        <f t="shared" si="11"/>
        <v/>
      </c>
      <c r="X84" s="184">
        <f>SUMIF(J83:W83,"&gt;0",J81:W81)/SUM(J83:W83)%</f>
        <v>96.297736457933141</v>
      </c>
      <c r="Y84" s="109" t="s">
        <v>38</v>
      </c>
      <c r="Z84" s="118">
        <f>SUM(J81:V81)/X81*100</f>
        <v>63.979769772004168</v>
      </c>
      <c r="AA84" s="94" t="s">
        <v>252</v>
      </c>
      <c r="AB84" s="94"/>
      <c r="AC84" s="119"/>
      <c r="AD84" s="19"/>
      <c r="AE84" s="19"/>
      <c r="AF84" s="19"/>
      <c r="AG84" s="19"/>
      <c r="AH84" s="19"/>
      <c r="AI84" s="19"/>
      <c r="AJ84" s="19"/>
      <c r="AK84" s="19"/>
      <c r="AL84" s="19"/>
      <c r="AM84" s="19"/>
      <c r="AN84" s="19"/>
      <c r="AO84" s="19"/>
      <c r="AP84" s="19"/>
      <c r="AQ84" s="19"/>
    </row>
    <row r="85" spans="1:44" ht="15" customHeight="1" thickBo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4" ht="17.25" customHeight="1">
      <c r="A86" s="194" t="s">
        <v>122</v>
      </c>
      <c r="B86" s="438" t="str">
        <f t="shared" ref="B86:W86" si="12">B7</f>
        <v xml:space="preserve">  LPG og petroleum</v>
      </c>
      <c r="C86" s="438" t="str">
        <f t="shared" si="12"/>
        <v xml:space="preserve">  Kul</v>
      </c>
      <c r="D86" s="438" t="str">
        <f t="shared" si="12"/>
        <v xml:space="preserve">  Fuelolie</v>
      </c>
      <c r="E86" s="438" t="str">
        <f t="shared" si="12"/>
        <v xml:space="preserve">  Brændselsolie</v>
      </c>
      <c r="F86" s="438" t="str">
        <f t="shared" si="12"/>
        <v xml:space="preserve">  Dieselolie</v>
      </c>
      <c r="G86" s="438" t="str">
        <f t="shared" si="12"/>
        <v xml:space="preserve">  JP1</v>
      </c>
      <c r="H86" s="438" t="str">
        <f t="shared" si="12"/>
        <v xml:space="preserve">  Benzin</v>
      </c>
      <c r="I86" s="438" t="str">
        <f t="shared" si="12"/>
        <v xml:space="preserve">  Naturgas</v>
      </c>
      <c r="J86" s="438" t="str">
        <f t="shared" si="12"/>
        <v xml:space="preserve">  Vindenergi</v>
      </c>
      <c r="K86" s="438" t="str">
        <f t="shared" si="12"/>
        <v xml:space="preserve">  Vandenergi</v>
      </c>
      <c r="L86" s="438" t="str">
        <f t="shared" si="12"/>
        <v xml:space="preserve">  Solenergi</v>
      </c>
      <c r="M86" s="438" t="str">
        <f t="shared" si="12"/>
        <v xml:space="preserve">  Geotermi</v>
      </c>
      <c r="N86" s="438" t="str">
        <f t="shared" si="12"/>
        <v xml:space="preserve">  Varmekilder til varmepumper</v>
      </c>
      <c r="O86" s="438" t="str">
        <f t="shared" si="12"/>
        <v xml:space="preserve">  Husdyrsgødning</v>
      </c>
      <c r="P86" s="438" t="str">
        <f t="shared" si="12"/>
        <v xml:space="preserve">  Biobrændstof og energiafgrøder</v>
      </c>
      <c r="Q86" s="438" t="str">
        <f t="shared" si="12"/>
        <v xml:space="preserve">  Halm</v>
      </c>
      <c r="R86" s="438" t="str">
        <f t="shared" si="12"/>
        <v xml:space="preserve">  Brænde og træflis</v>
      </c>
      <c r="S86" s="438" t="str">
        <f t="shared" si="12"/>
        <v xml:space="preserve">  Træpiller og træaffald</v>
      </c>
      <c r="T86" s="438" t="str">
        <f t="shared" si="12"/>
        <v xml:space="preserve">  Organisk affald, industri</v>
      </c>
      <c r="U86" s="438" t="str">
        <f t="shared" si="12"/>
        <v xml:space="preserve">  Organisk affald, husholdninger</v>
      </c>
      <c r="V86" s="438" t="str">
        <f t="shared" si="12"/>
        <v xml:space="preserve">  Deponi, slam, renseanlæg</v>
      </c>
      <c r="W86" s="444" t="str">
        <f t="shared" si="12"/>
        <v xml:space="preserve">  Affald, ikke bionedbrydeligt</v>
      </c>
      <c r="X86" s="4"/>
      <c r="Y86" s="4"/>
      <c r="Z86" s="4"/>
      <c r="AA86" s="4"/>
      <c r="AB86" s="4"/>
      <c r="AC86" s="4"/>
      <c r="AD86" s="4"/>
      <c r="AE86" s="4"/>
      <c r="AF86" s="4"/>
      <c r="AG86" s="4"/>
      <c r="AH86" s="4"/>
      <c r="AI86" s="4"/>
      <c r="AJ86" s="4"/>
      <c r="AK86" s="4"/>
      <c r="AL86" s="4"/>
      <c r="AM86" s="4"/>
      <c r="AN86" s="4"/>
      <c r="AO86" s="4"/>
      <c r="AP86" s="4"/>
      <c r="AQ86" s="4"/>
    </row>
    <row r="87" spans="1:44" ht="30">
      <c r="A87" s="275">
        <v>100</v>
      </c>
      <c r="B87" s="439"/>
      <c r="C87" s="439"/>
      <c r="D87" s="439"/>
      <c r="E87" s="439"/>
      <c r="F87" s="439"/>
      <c r="G87" s="439"/>
      <c r="H87" s="439"/>
      <c r="I87" s="439"/>
      <c r="J87" s="439"/>
      <c r="K87" s="439"/>
      <c r="L87" s="439"/>
      <c r="M87" s="439"/>
      <c r="N87" s="439"/>
      <c r="O87" s="439"/>
      <c r="P87" s="439"/>
      <c r="Q87" s="439"/>
      <c r="R87" s="439"/>
      <c r="S87" s="439"/>
      <c r="T87" s="439"/>
      <c r="U87" s="439"/>
      <c r="V87" s="439"/>
      <c r="W87" s="445"/>
      <c r="X87" s="4"/>
      <c r="Y87" s="4"/>
      <c r="Z87" s="4"/>
      <c r="AA87" s="4"/>
      <c r="AB87" s="4"/>
      <c r="AC87" s="4"/>
      <c r="AD87" s="4"/>
      <c r="AE87" s="4"/>
      <c r="AF87" s="4"/>
      <c r="AG87" s="4"/>
      <c r="AH87" s="4"/>
      <c r="AI87" s="4"/>
      <c r="AJ87" s="4"/>
      <c r="AK87" s="4"/>
      <c r="AL87" s="4"/>
      <c r="AM87" s="4"/>
      <c r="AN87" s="4"/>
      <c r="AO87" s="4"/>
      <c r="AP87" s="4"/>
      <c r="AQ87" s="4"/>
    </row>
    <row r="88" spans="1:44" ht="123" customHeight="1" thickBot="1">
      <c r="A88" s="195" t="s">
        <v>123</v>
      </c>
      <c r="B88" s="440"/>
      <c r="C88" s="440"/>
      <c r="D88" s="440"/>
      <c r="E88" s="440"/>
      <c r="F88" s="440"/>
      <c r="G88" s="440"/>
      <c r="H88" s="440"/>
      <c r="I88" s="440"/>
      <c r="J88" s="440"/>
      <c r="K88" s="440"/>
      <c r="L88" s="440"/>
      <c r="M88" s="440"/>
      <c r="N88" s="440"/>
      <c r="O88" s="440"/>
      <c r="P88" s="440"/>
      <c r="Q88" s="440"/>
      <c r="R88" s="440"/>
      <c r="S88" s="440"/>
      <c r="T88" s="440"/>
      <c r="U88" s="440"/>
      <c r="V88" s="440"/>
      <c r="W88" s="446"/>
      <c r="X88" s="4"/>
      <c r="Y88" s="4"/>
      <c r="Z88" s="4"/>
      <c r="AA88" s="4"/>
      <c r="AB88" s="4"/>
      <c r="AC88" s="4"/>
      <c r="AD88" s="4"/>
      <c r="AE88" s="4"/>
      <c r="AF88" s="4"/>
      <c r="AG88" s="4"/>
      <c r="AH88" s="4"/>
      <c r="AI88" s="4"/>
      <c r="AJ88" s="4"/>
      <c r="AK88" s="4"/>
      <c r="AL88" s="4"/>
      <c r="AM88" s="4"/>
      <c r="AN88" s="4"/>
      <c r="AO88" s="4"/>
      <c r="AP88" s="4"/>
      <c r="AQ88" s="4"/>
    </row>
    <row r="89" spans="1:44" s="25" customFormat="1" ht="15" customHeight="1" thickBot="1">
      <c r="A89" s="276">
        <v>0</v>
      </c>
      <c r="B89" s="196">
        <v>63.1</v>
      </c>
      <c r="C89" s="196">
        <v>94.95</v>
      </c>
      <c r="D89" s="196">
        <v>78.84</v>
      </c>
      <c r="E89" s="196">
        <v>74</v>
      </c>
      <c r="F89" s="196">
        <v>74</v>
      </c>
      <c r="G89" s="196">
        <v>72</v>
      </c>
      <c r="H89" s="196">
        <v>73</v>
      </c>
      <c r="I89" s="196">
        <v>57</v>
      </c>
      <c r="J89" s="197"/>
      <c r="K89" s="197"/>
      <c r="L89" s="197"/>
      <c r="M89" s="197"/>
      <c r="N89" s="198"/>
      <c r="O89" s="197"/>
      <c r="P89" s="197"/>
      <c r="Q89" s="197"/>
      <c r="R89" s="197"/>
      <c r="S89" s="197"/>
      <c r="T89" s="197"/>
      <c r="U89" s="197"/>
      <c r="V89" s="198"/>
      <c r="W89" s="199">
        <v>82.22</v>
      </c>
      <c r="X89" s="200" t="s">
        <v>222</v>
      </c>
      <c r="Y89" s="23"/>
      <c r="Z89" s="24"/>
      <c r="AA89" s="24"/>
      <c r="AB89" s="24"/>
      <c r="AC89" s="24"/>
      <c r="AD89" s="24"/>
      <c r="AE89" s="24"/>
      <c r="AF89" s="24"/>
      <c r="AG89" s="24"/>
      <c r="AH89" s="24"/>
      <c r="AI89" s="24"/>
      <c r="AJ89" s="24"/>
      <c r="AK89" s="24"/>
      <c r="AL89" s="24"/>
      <c r="AM89" s="24"/>
      <c r="AN89" s="24"/>
      <c r="AO89" s="24"/>
      <c r="AP89" s="24"/>
      <c r="AQ89" s="24"/>
    </row>
    <row r="90" spans="1:44">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60"/>
      <c r="AA90" s="60"/>
      <c r="AB90" s="60"/>
      <c r="AC90" s="60"/>
      <c r="AD90" s="60"/>
      <c r="AE90" s="60"/>
      <c r="AF90" s="60"/>
      <c r="AG90" s="60"/>
      <c r="AH90" s="60"/>
      <c r="AI90" s="60"/>
      <c r="AJ90" s="60"/>
      <c r="AK90" s="60"/>
      <c r="AL90" s="60"/>
      <c r="AM90" s="60"/>
      <c r="AN90" s="60"/>
      <c r="AO90" s="60"/>
      <c r="AP90" s="60"/>
      <c r="AQ90" s="60"/>
      <c r="AR90" s="15"/>
    </row>
    <row r="91" spans="1:44">
      <c r="A91" s="6"/>
      <c r="B91" s="6"/>
      <c r="C91" s="6"/>
      <c r="D91" s="6"/>
      <c r="E91" s="6"/>
      <c r="F91" s="6"/>
      <c r="G91" s="6"/>
      <c r="H91" s="6"/>
      <c r="I91" s="6"/>
      <c r="J91" s="6"/>
      <c r="K91" s="6"/>
      <c r="L91" s="6"/>
      <c r="M91" s="6"/>
      <c r="N91" s="6"/>
      <c r="O91" s="6"/>
      <c r="P91" s="6"/>
      <c r="Q91" s="6"/>
      <c r="R91" s="6"/>
      <c r="S91" s="6"/>
      <c r="T91" s="6"/>
      <c r="U91" s="6"/>
      <c r="V91" s="6"/>
      <c r="W91" s="6"/>
      <c r="X91" s="6"/>
      <c r="Y91" s="202"/>
    </row>
    <row r="92" spans="1:44">
      <c r="A92" s="6"/>
      <c r="B92" s="6"/>
      <c r="C92" s="6"/>
      <c r="D92" s="6"/>
      <c r="E92" s="6"/>
      <c r="F92" s="6"/>
      <c r="G92" s="6"/>
      <c r="H92" s="6"/>
      <c r="I92" s="6"/>
      <c r="J92" s="6"/>
      <c r="K92" s="6"/>
      <c r="L92" s="6"/>
      <c r="M92" s="6"/>
      <c r="N92" s="6"/>
      <c r="O92" s="6"/>
      <c r="P92" s="6"/>
      <c r="Q92" s="6"/>
      <c r="R92" s="6"/>
      <c r="S92" s="6"/>
      <c r="T92" s="6"/>
      <c r="U92" s="6"/>
      <c r="V92" s="6"/>
      <c r="W92" s="6"/>
      <c r="X92" s="6"/>
      <c r="Y92" s="202"/>
      <c r="AG92" s="354" t="s">
        <v>1</v>
      </c>
    </row>
    <row r="93" spans="1:44" ht="12.75" customHeight="1">
      <c r="A93" s="22"/>
      <c r="B93" s="6"/>
      <c r="C93" s="6"/>
      <c r="D93" s="6"/>
      <c r="E93" s="6"/>
      <c r="F93" s="6"/>
      <c r="G93" s="6"/>
      <c r="H93" s="6"/>
      <c r="I93" s="6"/>
      <c r="J93" s="6"/>
      <c r="K93" s="6"/>
      <c r="L93" s="6"/>
      <c r="M93" s="6"/>
      <c r="N93" s="6"/>
      <c r="O93" s="6"/>
      <c r="P93" s="6"/>
      <c r="Q93" s="6"/>
      <c r="R93" s="6"/>
      <c r="S93" s="6"/>
      <c r="T93" s="6"/>
      <c r="U93" s="6"/>
      <c r="V93" s="6"/>
      <c r="W93" s="6"/>
      <c r="X93" s="6"/>
      <c r="Y93" s="15"/>
      <c r="AF93" s="329"/>
      <c r="AG93" s="329" t="s">
        <v>137</v>
      </c>
      <c r="AH93" s="329" t="s">
        <v>262</v>
      </c>
      <c r="AI93" s="329" t="s">
        <v>265</v>
      </c>
    </row>
    <row r="94" spans="1:44">
      <c r="A94" s="6"/>
      <c r="B94" s="6"/>
      <c r="C94" s="6"/>
      <c r="D94" s="6"/>
      <c r="E94" s="6"/>
      <c r="F94" s="6"/>
      <c r="G94" s="6"/>
      <c r="H94" s="441" t="s">
        <v>255</v>
      </c>
      <c r="I94" s="442"/>
      <c r="J94" s="6"/>
      <c r="K94" s="6"/>
      <c r="N94" s="6"/>
      <c r="O94" s="434" t="s">
        <v>258</v>
      </c>
      <c r="P94" s="434"/>
      <c r="Q94" s="6"/>
      <c r="R94" s="6"/>
      <c r="S94" s="6"/>
      <c r="T94" s="6"/>
      <c r="U94" s="6"/>
      <c r="V94" s="6"/>
      <c r="W94" s="6"/>
      <c r="X94" s="6"/>
      <c r="Y94" s="203"/>
      <c r="AF94" s="329">
        <v>2018</v>
      </c>
      <c r="AG94" s="355">
        <f>'2018'!AH72</f>
        <v>205.54</v>
      </c>
      <c r="AH94" s="355">
        <f>'2018'!AH73</f>
        <v>203.27500000000003</v>
      </c>
      <c r="AI94" s="355">
        <f>'2018'!AH74</f>
        <v>81.75</v>
      </c>
    </row>
    <row r="95" spans="1:44">
      <c r="A95" s="6"/>
      <c r="B95" s="6"/>
      <c r="C95" s="6"/>
      <c r="D95" s="6"/>
      <c r="E95" s="6"/>
      <c r="F95" s="6"/>
      <c r="G95" s="6"/>
      <c r="H95" s="314">
        <v>2018</v>
      </c>
      <c r="I95" s="314">
        <v>51.5</v>
      </c>
      <c r="J95" s="6" t="s">
        <v>257</v>
      </c>
      <c r="K95" s="6"/>
      <c r="N95" s="6"/>
      <c r="O95" s="314">
        <v>2018</v>
      </c>
      <c r="P95" s="314">
        <v>145.69999999999999</v>
      </c>
      <c r="Q95" s="6"/>
      <c r="R95" s="6"/>
      <c r="S95" s="6"/>
      <c r="T95" s="6"/>
      <c r="U95" s="6"/>
      <c r="V95" s="6"/>
      <c r="W95" s="6"/>
      <c r="X95" s="6"/>
      <c r="Y95" s="4"/>
      <c r="AF95" s="329">
        <v>2030</v>
      </c>
      <c r="AG95" s="355">
        <f>AH72</f>
        <v>162.3766</v>
      </c>
      <c r="AH95" s="355">
        <f>AH73</f>
        <v>160.58725000000001</v>
      </c>
      <c r="AI95" s="355">
        <f>AH74</f>
        <v>64.582499999999996</v>
      </c>
    </row>
    <row r="96" spans="1:44">
      <c r="A96" s="6"/>
      <c r="B96" s="6"/>
      <c r="C96" s="6"/>
      <c r="D96" s="6"/>
      <c r="E96" s="6"/>
      <c r="F96" s="6"/>
      <c r="G96" s="6"/>
      <c r="H96" s="314">
        <v>2030</v>
      </c>
      <c r="I96" s="314">
        <f>I95*0.3</f>
        <v>15.45</v>
      </c>
      <c r="J96" s="6" t="s">
        <v>257</v>
      </c>
      <c r="K96" s="6"/>
      <c r="N96" s="6"/>
      <c r="O96" s="314">
        <v>2030</v>
      </c>
      <c r="P96" s="314">
        <f>P95*0.3</f>
        <v>43.709999999999994</v>
      </c>
      <c r="Q96" s="6"/>
      <c r="R96" s="6"/>
      <c r="S96" s="6"/>
      <c r="T96" s="6"/>
      <c r="U96" s="6"/>
      <c r="V96" s="6"/>
      <c r="W96" s="6"/>
      <c r="X96" s="6"/>
      <c r="Y96" s="15"/>
    </row>
    <row r="97" spans="1:43">
      <c r="A97" s="6"/>
      <c r="B97" s="6"/>
      <c r="C97" s="6"/>
      <c r="D97" s="6"/>
      <c r="E97" s="6"/>
      <c r="F97" s="6"/>
      <c r="G97" s="6"/>
      <c r="H97" s="291" t="s">
        <v>256</v>
      </c>
      <c r="I97" s="299">
        <f>I95-I96</f>
        <v>36.049999999999997</v>
      </c>
      <c r="J97" s="6" t="s">
        <v>257</v>
      </c>
      <c r="K97" s="6"/>
      <c r="L97" s="6"/>
      <c r="M97" s="6"/>
      <c r="N97" s="6"/>
      <c r="O97" s="291" t="s">
        <v>259</v>
      </c>
      <c r="P97" s="291">
        <f>(P95-P96)*0.75</f>
        <v>76.492499999999993</v>
      </c>
      <c r="Q97" s="6"/>
      <c r="R97" s="6"/>
      <c r="S97" s="6"/>
      <c r="T97" s="6"/>
      <c r="U97" s="6"/>
      <c r="V97" s="6"/>
      <c r="W97" s="6"/>
      <c r="X97" s="6"/>
      <c r="Y97" s="203"/>
      <c r="Z97" s="6"/>
      <c r="AA97" s="6"/>
      <c r="AB97" s="6"/>
      <c r="AC97" s="6"/>
      <c r="AD97" s="6"/>
      <c r="AE97" s="6"/>
      <c r="AF97" s="6"/>
      <c r="AG97" s="6"/>
      <c r="AH97" s="6"/>
      <c r="AI97" s="6"/>
      <c r="AJ97" s="6"/>
      <c r="AK97" s="6"/>
      <c r="AL97" s="6"/>
      <c r="AM97" s="6"/>
      <c r="AN97" s="6"/>
      <c r="AO97" s="6"/>
      <c r="AP97" s="6"/>
      <c r="AQ97" s="6"/>
    </row>
    <row r="98" spans="1:43">
      <c r="O98" s="349" t="s">
        <v>260</v>
      </c>
      <c r="P98" s="291">
        <f>(P95-P96)*0.25</f>
        <v>25.497499999999999</v>
      </c>
      <c r="AF98" s="18" t="s">
        <v>263</v>
      </c>
      <c r="AH98" s="18">
        <f>(AG94-AG95)+(AH94-AH95)+(AI94-AI95)</f>
        <v>103.01865000000002</v>
      </c>
    </row>
    <row r="100" spans="1:43">
      <c r="L100" s="351"/>
      <c r="M100" s="351"/>
    </row>
    <row r="101" spans="1:43">
      <c r="L101" s="443"/>
      <c r="M101" s="443"/>
    </row>
    <row r="102" spans="1:43">
      <c r="L102" s="283"/>
      <c r="M102" s="281"/>
    </row>
    <row r="103" spans="1:43">
      <c r="L103" s="283"/>
      <c r="M103" s="283"/>
    </row>
    <row r="104" spans="1:43">
      <c r="L104" s="282"/>
      <c r="M104" s="279"/>
    </row>
    <row r="105" spans="1:43">
      <c r="L105" s="351"/>
      <c r="M105" s="351"/>
    </row>
  </sheetData>
  <mergeCells count="33">
    <mergeCell ref="O94:P94"/>
    <mergeCell ref="H94:I94"/>
    <mergeCell ref="L101:M101"/>
    <mergeCell ref="V86:V88"/>
    <mergeCell ref="W86:W88"/>
    <mergeCell ref="Q86:Q88"/>
    <mergeCell ref="R86:R88"/>
    <mergeCell ref="S86:S88"/>
    <mergeCell ref="T86:T88"/>
    <mergeCell ref="U86:U88"/>
    <mergeCell ref="L86:L88"/>
    <mergeCell ref="M86:M88"/>
    <mergeCell ref="N86:N88"/>
    <mergeCell ref="O86:O88"/>
    <mergeCell ref="P86:P88"/>
    <mergeCell ref="G86:G88"/>
    <mergeCell ref="H86:H88"/>
    <mergeCell ref="I86:I88"/>
    <mergeCell ref="J86:J88"/>
    <mergeCell ref="K86:K88"/>
    <mergeCell ref="B86:B88"/>
    <mergeCell ref="C86:C88"/>
    <mergeCell ref="D86:D88"/>
    <mergeCell ref="E86:E88"/>
    <mergeCell ref="F86:F88"/>
    <mergeCell ref="AF6:AG6"/>
    <mergeCell ref="AI6:AQ6"/>
    <mergeCell ref="D1:E1"/>
    <mergeCell ref="Y1:Y2"/>
    <mergeCell ref="A6:X6"/>
    <mergeCell ref="Z6:AC6"/>
    <mergeCell ref="AD6:AE6"/>
    <mergeCell ref="Y3:Y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33"/>
    <pageSetUpPr fitToPage="1"/>
  </sheetPr>
  <dimension ref="A1:AV99"/>
  <sheetViews>
    <sheetView showGridLines="0" showZeros="0" zoomScale="70" zoomScaleNormal="70" workbookViewId="0">
      <selection activeCell="AE86" sqref="AE86"/>
    </sheetView>
  </sheetViews>
  <sheetFormatPr defaultColWidth="9.109375" defaultRowHeight="13.2"/>
  <cols>
    <col min="1" max="23" width="7.109375" style="6" customWidth="1"/>
    <col min="24" max="24" width="8.6640625" style="6" customWidth="1"/>
    <col min="25" max="25" width="52.109375" style="6" bestFit="1" customWidth="1"/>
    <col min="26" max="29" width="5.6640625" style="6" customWidth="1"/>
    <col min="30" max="34" width="8.6640625" style="6" customWidth="1"/>
    <col min="35" max="43" width="7.109375" style="6" customWidth="1"/>
    <col min="44" max="16384" width="9.109375" style="6"/>
  </cols>
  <sheetData>
    <row r="1" spans="1:48" ht="15" customHeight="1">
      <c r="A1" s="120" t="s">
        <v>48</v>
      </c>
      <c r="B1" s="3"/>
      <c r="C1" s="3"/>
      <c r="D1" s="448">
        <v>98265</v>
      </c>
      <c r="E1" s="449"/>
      <c r="F1" s="4"/>
      <c r="G1" s="4"/>
      <c r="H1" s="4"/>
      <c r="I1" s="4"/>
      <c r="K1" s="4"/>
      <c r="L1" s="4"/>
      <c r="M1" s="4"/>
      <c r="N1" s="4"/>
      <c r="O1" s="4"/>
      <c r="P1" s="4"/>
      <c r="Q1" s="4"/>
      <c r="R1" s="4"/>
      <c r="S1" s="4"/>
      <c r="T1" s="4"/>
      <c r="U1" s="4"/>
      <c r="V1" s="5"/>
      <c r="W1" s="5"/>
      <c r="X1" s="5"/>
      <c r="Y1" s="429" t="s">
        <v>73</v>
      </c>
      <c r="Z1" s="5"/>
      <c r="AA1" s="5"/>
      <c r="AB1" s="5"/>
      <c r="AC1" s="5"/>
      <c r="AD1" s="4"/>
      <c r="AE1" s="4"/>
      <c r="AF1" s="4"/>
      <c r="AG1" s="4"/>
      <c r="AH1" s="4"/>
      <c r="AI1" s="4"/>
      <c r="AJ1" s="4"/>
      <c r="AK1" s="4"/>
      <c r="AL1" s="4"/>
      <c r="AM1" s="4"/>
      <c r="AN1" s="4"/>
      <c r="AO1" s="4"/>
      <c r="AP1" s="4"/>
      <c r="AQ1" s="4"/>
    </row>
    <row r="2" spans="1:48" ht="15" customHeight="1">
      <c r="A2" s="121" t="s">
        <v>50</v>
      </c>
      <c r="B2" s="4"/>
      <c r="C2" s="4"/>
      <c r="D2" s="122">
        <v>91.85</v>
      </c>
      <c r="E2" s="123" t="s">
        <v>49</v>
      </c>
      <c r="F2" s="4"/>
      <c r="G2" s="4"/>
      <c r="H2" s="124"/>
      <c r="I2" s="4"/>
      <c r="J2" s="4"/>
      <c r="K2" s="4"/>
      <c r="L2" s="4"/>
      <c r="M2" s="4"/>
      <c r="N2" s="4"/>
      <c r="O2" s="4"/>
      <c r="P2" s="4"/>
      <c r="Q2" s="4"/>
      <c r="R2" s="4"/>
      <c r="S2" s="4"/>
      <c r="T2" s="4"/>
      <c r="U2" s="4"/>
      <c r="V2" s="5"/>
      <c r="W2" s="5"/>
      <c r="X2" s="5"/>
      <c r="Y2" s="429"/>
      <c r="Z2" s="5"/>
      <c r="AA2" s="5"/>
      <c r="AB2" s="5"/>
      <c r="AC2" s="5"/>
      <c r="AD2" s="4"/>
      <c r="AE2" s="4"/>
      <c r="AF2" s="4"/>
      <c r="AG2" s="4"/>
      <c r="AH2" s="4"/>
      <c r="AI2" s="4"/>
      <c r="AJ2" s="4"/>
      <c r="AK2" s="4"/>
      <c r="AL2" s="4"/>
      <c r="AM2" s="4"/>
      <c r="AN2" s="4"/>
      <c r="AO2" s="4"/>
      <c r="AP2" s="4"/>
      <c r="AQ2" s="4"/>
    </row>
    <row r="3" spans="1:48" ht="15" customHeight="1" thickBot="1">
      <c r="A3" s="125" t="s">
        <v>46</v>
      </c>
      <c r="B3" s="7"/>
      <c r="C3" s="7"/>
      <c r="D3" s="7" t="s">
        <v>47</v>
      </c>
      <c r="E3" s="8"/>
      <c r="F3" s="4"/>
      <c r="G3" s="4"/>
      <c r="H3" s="4"/>
      <c r="I3" s="4"/>
      <c r="J3" s="4"/>
      <c r="K3" s="4"/>
      <c r="L3" s="4"/>
      <c r="M3" s="4"/>
      <c r="N3" s="4"/>
      <c r="O3" s="4"/>
      <c r="P3" s="4"/>
      <c r="Q3" s="4"/>
      <c r="R3" s="4"/>
      <c r="S3" s="4"/>
      <c r="T3" s="4"/>
      <c r="U3" s="4"/>
      <c r="V3" s="5"/>
      <c r="W3" s="5"/>
      <c r="X3" s="450" t="s">
        <v>251</v>
      </c>
      <c r="Y3" s="450"/>
      <c r="Z3" s="450"/>
      <c r="AA3" s="5"/>
      <c r="AB3" s="5"/>
      <c r="AC3" s="5"/>
      <c r="AD3" s="4"/>
      <c r="AE3" s="4"/>
      <c r="AF3" s="4"/>
      <c r="AG3" s="4"/>
      <c r="AH3" s="4"/>
      <c r="AI3" s="4"/>
      <c r="AJ3" s="4"/>
      <c r="AK3" s="4"/>
      <c r="AL3" s="4"/>
      <c r="AM3" s="4"/>
      <c r="AN3" s="4"/>
      <c r="AO3" s="4"/>
      <c r="AP3" s="4"/>
      <c r="AQ3" s="4"/>
    </row>
    <row r="4" spans="1:48" ht="15" customHeight="1">
      <c r="A4" s="4"/>
      <c r="B4" s="4"/>
      <c r="C4" s="4"/>
      <c r="D4" s="4"/>
      <c r="E4" s="4"/>
      <c r="F4" s="4"/>
      <c r="G4" s="4"/>
      <c r="H4" s="4"/>
      <c r="I4" s="4"/>
      <c r="J4" s="4"/>
      <c r="K4" s="4"/>
      <c r="L4" s="4"/>
      <c r="M4" s="4"/>
      <c r="N4" s="4"/>
      <c r="O4" s="4"/>
      <c r="P4" s="4"/>
      <c r="Q4" s="4"/>
      <c r="R4" s="4"/>
      <c r="S4" s="4"/>
      <c r="T4" s="4"/>
      <c r="U4" s="4"/>
      <c r="V4" s="5"/>
      <c r="W4" s="5"/>
      <c r="X4" s="450"/>
      <c r="Y4" s="450"/>
      <c r="Z4" s="450"/>
      <c r="AA4" s="5"/>
      <c r="AB4" s="5"/>
      <c r="AC4" s="5"/>
      <c r="AD4" s="4"/>
      <c r="AE4" s="4"/>
      <c r="AF4" s="4"/>
      <c r="AG4" s="4"/>
      <c r="AH4" s="4"/>
      <c r="AI4" s="4"/>
      <c r="AJ4" s="4"/>
      <c r="AK4" s="4"/>
      <c r="AL4" s="4"/>
      <c r="AM4" s="4"/>
      <c r="AN4" s="4"/>
      <c r="AO4" s="4"/>
      <c r="AP4" s="4"/>
      <c r="AQ4" s="4"/>
    </row>
    <row r="5" spans="1:48" ht="15" customHeight="1">
      <c r="A5" s="4"/>
      <c r="B5" s="4"/>
      <c r="C5" s="4"/>
      <c r="D5" s="4"/>
      <c r="E5" s="4"/>
      <c r="F5" s="4"/>
      <c r="G5" s="4"/>
      <c r="H5" s="4"/>
      <c r="I5" s="4"/>
      <c r="J5" s="4"/>
      <c r="K5" s="4"/>
      <c r="L5" s="4"/>
      <c r="M5" s="4"/>
      <c r="N5" s="4"/>
      <c r="O5" s="4"/>
      <c r="P5" s="4"/>
      <c r="Q5" s="4"/>
      <c r="R5" s="4"/>
      <c r="S5" s="4"/>
      <c r="T5" s="4"/>
      <c r="U5" s="4"/>
      <c r="V5" s="4"/>
      <c r="W5" s="4"/>
      <c r="X5" s="4"/>
      <c r="Z5" s="4"/>
      <c r="AA5" s="4"/>
      <c r="AB5" s="4"/>
      <c r="AC5" s="4"/>
      <c r="AD5" s="4"/>
      <c r="AE5" s="4"/>
      <c r="AF5" s="4"/>
      <c r="AG5" s="4"/>
      <c r="AH5" s="4"/>
      <c r="AI5" s="4"/>
      <c r="AJ5" s="4"/>
      <c r="AK5" s="4"/>
      <c r="AL5" s="4"/>
      <c r="AM5" s="4"/>
      <c r="AN5" s="4"/>
      <c r="AO5" s="4"/>
      <c r="AP5" s="4"/>
      <c r="AQ5" s="4"/>
    </row>
    <row r="6" spans="1:48" ht="15" customHeight="1">
      <c r="A6" s="447" t="s">
        <v>0</v>
      </c>
      <c r="B6" s="447"/>
      <c r="C6" s="447"/>
      <c r="D6" s="447"/>
      <c r="E6" s="447"/>
      <c r="F6" s="447"/>
      <c r="G6" s="447"/>
      <c r="H6" s="447"/>
      <c r="I6" s="447"/>
      <c r="J6" s="447"/>
      <c r="K6" s="447"/>
      <c r="L6" s="447"/>
      <c r="M6" s="447"/>
      <c r="N6" s="447"/>
      <c r="O6" s="447"/>
      <c r="P6" s="447"/>
      <c r="Q6" s="447"/>
      <c r="R6" s="447"/>
      <c r="S6" s="447"/>
      <c r="T6" s="447"/>
      <c r="U6" s="447"/>
      <c r="V6" s="447"/>
      <c r="W6" s="447"/>
      <c r="X6" s="447"/>
      <c r="Y6" s="315" t="s">
        <v>51</v>
      </c>
      <c r="Z6" s="447" t="s">
        <v>104</v>
      </c>
      <c r="AA6" s="447"/>
      <c r="AB6" s="447"/>
      <c r="AC6" s="447"/>
      <c r="AD6" s="447" t="s">
        <v>53</v>
      </c>
      <c r="AE6" s="447"/>
      <c r="AF6" s="447" t="s">
        <v>52</v>
      </c>
      <c r="AG6" s="447"/>
      <c r="AH6" s="126"/>
      <c r="AI6" s="447" t="s">
        <v>1</v>
      </c>
      <c r="AJ6" s="447"/>
      <c r="AK6" s="447"/>
      <c r="AL6" s="447"/>
      <c r="AM6" s="447"/>
      <c r="AN6" s="447"/>
      <c r="AO6" s="447"/>
      <c r="AP6" s="447"/>
      <c r="AQ6" s="447"/>
    </row>
    <row r="7" spans="1:48" s="9" customFormat="1" ht="159.9" customHeight="1" thickBot="1">
      <c r="A7" s="127" t="s">
        <v>74</v>
      </c>
      <c r="B7" s="128" t="s">
        <v>75</v>
      </c>
      <c r="C7" s="128" t="s">
        <v>76</v>
      </c>
      <c r="D7" s="128" t="s">
        <v>77</v>
      </c>
      <c r="E7" s="128" t="s">
        <v>78</v>
      </c>
      <c r="F7" s="128" t="s">
        <v>79</v>
      </c>
      <c r="G7" s="128" t="s">
        <v>80</v>
      </c>
      <c r="H7" s="128" t="s">
        <v>81</v>
      </c>
      <c r="I7" s="128" t="s">
        <v>82</v>
      </c>
      <c r="J7" s="128" t="s">
        <v>83</v>
      </c>
      <c r="K7" s="128" t="s">
        <v>84</v>
      </c>
      <c r="L7" s="128" t="s">
        <v>85</v>
      </c>
      <c r="M7" s="128" t="s">
        <v>86</v>
      </c>
      <c r="N7" s="128" t="s">
        <v>87</v>
      </c>
      <c r="O7" s="128" t="s">
        <v>88</v>
      </c>
      <c r="P7" s="128" t="s">
        <v>89</v>
      </c>
      <c r="Q7" s="128" t="s">
        <v>90</v>
      </c>
      <c r="R7" s="128" t="s">
        <v>91</v>
      </c>
      <c r="S7" s="128" t="s">
        <v>92</v>
      </c>
      <c r="T7" s="128" t="s">
        <v>93</v>
      </c>
      <c r="U7" s="128" t="s">
        <v>94</v>
      </c>
      <c r="V7" s="128" t="s">
        <v>95</v>
      </c>
      <c r="W7" s="128" t="s">
        <v>96</v>
      </c>
      <c r="X7" s="129" t="s">
        <v>97</v>
      </c>
      <c r="Y7" s="130"/>
      <c r="Z7" s="131" t="s">
        <v>98</v>
      </c>
      <c r="AA7" s="128" t="s">
        <v>99</v>
      </c>
      <c r="AB7" s="128" t="s">
        <v>100</v>
      </c>
      <c r="AC7" s="129" t="s">
        <v>101</v>
      </c>
      <c r="AD7" s="127" t="s">
        <v>102</v>
      </c>
      <c r="AE7" s="129" t="s">
        <v>103</v>
      </c>
      <c r="AF7" s="127" t="s">
        <v>102</v>
      </c>
      <c r="AG7" s="129" t="s">
        <v>103</v>
      </c>
      <c r="AH7" s="132" t="s">
        <v>105</v>
      </c>
      <c r="AI7" s="133" t="s">
        <v>106</v>
      </c>
      <c r="AJ7" s="128" t="s">
        <v>107</v>
      </c>
      <c r="AK7" s="128" t="s">
        <v>108</v>
      </c>
      <c r="AL7" s="128" t="s">
        <v>109</v>
      </c>
      <c r="AM7" s="128" t="s">
        <v>110</v>
      </c>
      <c r="AN7" s="128" t="s">
        <v>111</v>
      </c>
      <c r="AO7" s="134" t="s">
        <v>112</v>
      </c>
      <c r="AP7" s="134" t="s">
        <v>113</v>
      </c>
      <c r="AQ7" s="129" t="s">
        <v>114</v>
      </c>
    </row>
    <row r="8" spans="1:48" ht="15" customHeight="1">
      <c r="A8" s="135"/>
      <c r="B8" s="136"/>
      <c r="C8" s="136"/>
      <c r="D8" s="136"/>
      <c r="E8" s="136"/>
      <c r="F8" s="136"/>
      <c r="G8" s="136"/>
      <c r="H8" s="136"/>
      <c r="I8" s="136"/>
      <c r="J8" s="136"/>
      <c r="K8" s="136"/>
      <c r="L8" s="136"/>
      <c r="M8" s="136"/>
      <c r="N8" s="136"/>
      <c r="O8" s="136"/>
      <c r="P8" s="136"/>
      <c r="Q8" s="136"/>
      <c r="R8" s="136"/>
      <c r="S8" s="136"/>
      <c r="T8" s="136"/>
      <c r="U8" s="136"/>
      <c r="V8" s="136"/>
      <c r="W8" s="136"/>
      <c r="X8" s="137">
        <f t="shared" ref="X8:X80" si="0">SUM(A8:W8)</f>
        <v>0</v>
      </c>
      <c r="Y8" s="138" t="s">
        <v>3</v>
      </c>
      <c r="Z8" s="135"/>
      <c r="AA8" s="136">
        <v>44</v>
      </c>
      <c r="AB8" s="136"/>
      <c r="AC8" s="137"/>
      <c r="AD8" s="135">
        <f t="shared" ref="AD8:AD13" si="1">-AE8/$D$2%</f>
        <v>-100.21279754540507</v>
      </c>
      <c r="AE8" s="139">
        <f>AH8/AA8%</f>
        <v>92.045454545454547</v>
      </c>
      <c r="AF8" s="140"/>
      <c r="AG8" s="139"/>
      <c r="AH8" s="141">
        <f t="shared" ref="AH8:AH14" si="2">SUM(AI8:AQ8)</f>
        <v>40.5</v>
      </c>
      <c r="AI8" s="110">
        <v>40.5</v>
      </c>
      <c r="AJ8" s="142"/>
      <c r="AK8" s="142"/>
      <c r="AL8" s="142"/>
      <c r="AM8" s="142"/>
      <c r="AN8" s="142"/>
      <c r="AO8" s="142"/>
      <c r="AP8" s="142"/>
      <c r="AQ8" s="143"/>
    </row>
    <row r="9" spans="1:48" ht="15" customHeight="1">
      <c r="A9" s="135"/>
      <c r="B9" s="136"/>
      <c r="C9" s="136"/>
      <c r="D9" s="136"/>
      <c r="E9" s="136"/>
      <c r="F9" s="136"/>
      <c r="G9" s="136"/>
      <c r="H9" s="136"/>
      <c r="I9" s="136"/>
      <c r="J9" s="136"/>
      <c r="K9" s="136"/>
      <c r="L9" s="136"/>
      <c r="M9" s="136"/>
      <c r="N9" s="136"/>
      <c r="O9" s="136"/>
      <c r="P9" s="136"/>
      <c r="Q9" s="136"/>
      <c r="R9" s="136"/>
      <c r="S9" s="136"/>
      <c r="T9" s="136"/>
      <c r="U9" s="136"/>
      <c r="V9" s="136"/>
      <c r="W9" s="136"/>
      <c r="X9" s="137">
        <f t="shared" si="0"/>
        <v>0</v>
      </c>
      <c r="Y9" s="138" t="s">
        <v>4</v>
      </c>
      <c r="Z9" s="135"/>
      <c r="AA9" s="136"/>
      <c r="AB9" s="136">
        <v>90</v>
      </c>
      <c r="AC9" s="137"/>
      <c r="AD9" s="135">
        <f t="shared" si="1"/>
        <v>-7.5001512127260632</v>
      </c>
      <c r="AE9" s="139">
        <f>AH9/AB9%</f>
        <v>6.8888888888888893</v>
      </c>
      <c r="AF9" s="140"/>
      <c r="AG9" s="139"/>
      <c r="AH9" s="141">
        <f t="shared" si="2"/>
        <v>6.2</v>
      </c>
      <c r="AI9" s="111">
        <v>6.2</v>
      </c>
      <c r="AJ9" s="142"/>
      <c r="AK9" s="142"/>
      <c r="AL9" s="142"/>
      <c r="AM9" s="142"/>
      <c r="AN9" s="142"/>
      <c r="AO9" s="142"/>
      <c r="AP9" s="142"/>
      <c r="AQ9" s="143"/>
    </row>
    <row r="10" spans="1:48" ht="15" customHeight="1">
      <c r="A10" s="135"/>
      <c r="B10" s="136"/>
      <c r="C10" s="136"/>
      <c r="D10" s="136"/>
      <c r="E10" s="136"/>
      <c r="F10" s="136"/>
      <c r="G10" s="136"/>
      <c r="H10" s="136"/>
      <c r="I10" s="136"/>
      <c r="J10" s="136"/>
      <c r="K10" s="136"/>
      <c r="L10" s="136"/>
      <c r="M10" s="136"/>
      <c r="N10" s="136"/>
      <c r="O10" s="136"/>
      <c r="P10" s="136"/>
      <c r="Q10" s="136"/>
      <c r="R10" s="136"/>
      <c r="S10" s="136"/>
      <c r="T10" s="136"/>
      <c r="U10" s="136"/>
      <c r="V10" s="136"/>
      <c r="W10" s="136"/>
      <c r="X10" s="137">
        <f t="shared" si="0"/>
        <v>0</v>
      </c>
      <c r="Y10" s="138" t="s">
        <v>5</v>
      </c>
      <c r="Z10" s="135"/>
      <c r="AA10" s="136"/>
      <c r="AB10" s="136">
        <v>100</v>
      </c>
      <c r="AC10" s="137"/>
      <c r="AD10" s="135">
        <f t="shared" si="1"/>
        <v>-32.00870985302123</v>
      </c>
      <c r="AE10" s="139">
        <f>AH10/AB10%</f>
        <v>29.4</v>
      </c>
      <c r="AF10" s="140"/>
      <c r="AG10" s="139"/>
      <c r="AH10" s="141">
        <f t="shared" si="2"/>
        <v>29.4</v>
      </c>
      <c r="AI10" s="111">
        <v>29.4</v>
      </c>
      <c r="AJ10" s="142"/>
      <c r="AK10" s="142"/>
      <c r="AL10" s="142"/>
      <c r="AM10" s="142"/>
      <c r="AN10" s="142"/>
      <c r="AO10" s="142"/>
      <c r="AP10" s="142"/>
      <c r="AQ10" s="143"/>
    </row>
    <row r="11" spans="1:48" ht="15" customHeight="1">
      <c r="A11" s="135"/>
      <c r="B11" s="136"/>
      <c r="C11" s="136"/>
      <c r="D11" s="136"/>
      <c r="E11" s="136"/>
      <c r="F11" s="136"/>
      <c r="G11" s="136"/>
      <c r="H11" s="136"/>
      <c r="I11" s="136"/>
      <c r="J11" s="136"/>
      <c r="K11" s="136"/>
      <c r="L11" s="136"/>
      <c r="M11" s="136"/>
      <c r="N11" s="136"/>
      <c r="O11" s="136"/>
      <c r="P11" s="136"/>
      <c r="Q11" s="136"/>
      <c r="R11" s="136"/>
      <c r="S11" s="136"/>
      <c r="T11" s="136"/>
      <c r="U11" s="136"/>
      <c r="V11" s="136"/>
      <c r="W11" s="136"/>
      <c r="X11" s="137">
        <f t="shared" si="0"/>
        <v>0</v>
      </c>
      <c r="Y11" s="138" t="s">
        <v>18</v>
      </c>
      <c r="Z11" s="135"/>
      <c r="AA11" s="136">
        <v>50</v>
      </c>
      <c r="AB11" s="136"/>
      <c r="AC11" s="137"/>
      <c r="AD11" s="135">
        <f t="shared" si="1"/>
        <v>-259.23549706368334</v>
      </c>
      <c r="AE11" s="139">
        <f>AH11/AA11%</f>
        <v>238.10780405299315</v>
      </c>
      <c r="AF11" s="140"/>
      <c r="AG11" s="139"/>
      <c r="AH11" s="141">
        <f t="shared" si="2"/>
        <v>119.05390202649657</v>
      </c>
      <c r="AI11" s="111">
        <v>46.010289091700542</v>
      </c>
      <c r="AJ11" s="110">
        <v>22.718153257843227</v>
      </c>
      <c r="AK11" s="110">
        <v>13.335913320128627</v>
      </c>
      <c r="AL11" s="110">
        <v>19.417644533969696</v>
      </c>
      <c r="AM11" s="110">
        <v>0.43494709198286113</v>
      </c>
      <c r="AN11" s="110">
        <v>10.511732351298905</v>
      </c>
      <c r="AO11" s="110">
        <v>9.4099299204511919E-2</v>
      </c>
      <c r="AP11" s="110">
        <v>6.5311230803682063</v>
      </c>
      <c r="AQ11" s="143"/>
    </row>
    <row r="12" spans="1:48" ht="15" customHeight="1">
      <c r="A12" s="330"/>
      <c r="B12" s="323"/>
      <c r="C12" s="323"/>
      <c r="D12" s="323"/>
      <c r="E12" s="323"/>
      <c r="F12" s="323"/>
      <c r="G12" s="323"/>
      <c r="H12" s="323"/>
      <c r="I12" s="323"/>
      <c r="J12" s="323"/>
      <c r="K12" s="323"/>
      <c r="L12" s="323"/>
      <c r="M12" s="323"/>
      <c r="N12" s="323"/>
      <c r="O12" s="323"/>
      <c r="P12" s="323"/>
      <c r="Q12" s="323"/>
      <c r="R12" s="323"/>
      <c r="S12" s="323"/>
      <c r="T12" s="323"/>
      <c r="U12" s="323"/>
      <c r="V12" s="323"/>
      <c r="W12" s="136"/>
      <c r="X12" s="137">
        <f t="shared" si="0"/>
        <v>0</v>
      </c>
      <c r="Y12" s="138" t="s">
        <v>19</v>
      </c>
      <c r="Z12" s="135"/>
      <c r="AA12" s="136">
        <v>150</v>
      </c>
      <c r="AB12" s="136"/>
      <c r="AC12" s="137"/>
      <c r="AD12" s="135">
        <f t="shared" si="1"/>
        <v>-232.82836592102817</v>
      </c>
      <c r="AE12" s="139">
        <f>AH12/AA12%</f>
        <v>213.85285409846438</v>
      </c>
      <c r="AF12" s="140"/>
      <c r="AG12" s="139"/>
      <c r="AH12" s="141">
        <f t="shared" si="2"/>
        <v>320.77928114769657</v>
      </c>
      <c r="AI12" s="111">
        <v>162.9654755570555</v>
      </c>
      <c r="AJ12" s="110"/>
      <c r="AK12" s="110">
        <v>44.808668755632191</v>
      </c>
      <c r="AL12" s="110">
        <v>65.243285634138189</v>
      </c>
      <c r="AM12" s="110">
        <v>1.7397883679314448</v>
      </c>
      <c r="AN12" s="110">
        <v>42.04692940519562</v>
      </c>
      <c r="AO12" s="110">
        <v>5.6459579522707144E-2</v>
      </c>
      <c r="AP12" s="110">
        <v>3.9186738482209234</v>
      </c>
      <c r="AQ12" s="143"/>
    </row>
    <row r="13" spans="1:48" ht="15" customHeight="1">
      <c r="A13" s="330"/>
      <c r="B13" s="323"/>
      <c r="C13" s="323"/>
      <c r="D13" s="323"/>
      <c r="E13" s="323"/>
      <c r="F13" s="323"/>
      <c r="G13" s="323"/>
      <c r="H13" s="323"/>
      <c r="I13" s="323"/>
      <c r="J13" s="323"/>
      <c r="K13" s="323"/>
      <c r="L13" s="323"/>
      <c r="M13" s="323"/>
      <c r="N13" s="323"/>
      <c r="O13" s="323"/>
      <c r="P13" s="323"/>
      <c r="Q13" s="323"/>
      <c r="R13" s="323"/>
      <c r="S13" s="323"/>
      <c r="T13" s="323"/>
      <c r="U13" s="323"/>
      <c r="V13" s="323"/>
      <c r="W13" s="136"/>
      <c r="X13" s="137">
        <f t="shared" si="0"/>
        <v>0</v>
      </c>
      <c r="Y13" s="138" t="s">
        <v>71</v>
      </c>
      <c r="Z13" s="135"/>
      <c r="AA13" s="136">
        <v>85</v>
      </c>
      <c r="AB13" s="136"/>
      <c r="AC13" s="137"/>
      <c r="AD13" s="135">
        <f t="shared" si="1"/>
        <v>-1017.3250697350237</v>
      </c>
      <c r="AE13" s="139">
        <f>AH13/AA13%</f>
        <v>934.41307655161927</v>
      </c>
      <c r="AF13" s="140"/>
      <c r="AG13" s="139"/>
      <c r="AH13" s="141">
        <f t="shared" si="2"/>
        <v>794.2511150688764</v>
      </c>
      <c r="AI13" s="111">
        <v>255.84689140733357</v>
      </c>
      <c r="AJ13" s="110">
        <v>104.41936367771646</v>
      </c>
      <c r="AK13" s="110">
        <v>42.621578971131093</v>
      </c>
      <c r="AL13" s="110">
        <v>62.058791930567139</v>
      </c>
      <c r="AM13" s="110">
        <v>10.598210807982381</v>
      </c>
      <c r="AN13" s="110">
        <v>256.13587829331669</v>
      </c>
      <c r="AO13" s="110">
        <v>0.87449615394059732</v>
      </c>
      <c r="AP13" s="110">
        <v>60.695903826888525</v>
      </c>
      <c r="AQ13" s="364">
        <f>1</f>
        <v>1</v>
      </c>
    </row>
    <row r="14" spans="1:48" ht="15" customHeight="1">
      <c r="A14" s="330"/>
      <c r="B14" s="323"/>
      <c r="C14" s="323"/>
      <c r="D14" s="323"/>
      <c r="E14" s="323"/>
      <c r="F14" s="323"/>
      <c r="G14" s="323"/>
      <c r="H14" s="323"/>
      <c r="I14" s="323"/>
      <c r="J14" s="323"/>
      <c r="K14" s="323"/>
      <c r="L14" s="323"/>
      <c r="M14" s="323"/>
      <c r="N14" s="361">
        <f>AH14-AE14</f>
        <v>18</v>
      </c>
      <c r="O14" s="323"/>
      <c r="P14" s="323"/>
      <c r="Q14" s="323"/>
      <c r="R14" s="323"/>
      <c r="S14" s="323"/>
      <c r="T14" s="323"/>
      <c r="U14" s="323"/>
      <c r="V14" s="323"/>
      <c r="W14" s="136"/>
      <c r="X14" s="137">
        <f t="shared" si="0"/>
        <v>18</v>
      </c>
      <c r="Y14" s="138" t="s">
        <v>54</v>
      </c>
      <c r="Z14" s="135"/>
      <c r="AA14" s="136"/>
      <c r="AB14" s="136">
        <v>300</v>
      </c>
      <c r="AC14" s="137"/>
      <c r="AD14" s="135">
        <f>-AE14/$D$2%</f>
        <v>-9.7985846488840505</v>
      </c>
      <c r="AE14" s="112">
        <v>9</v>
      </c>
      <c r="AF14" s="140"/>
      <c r="AG14" s="139"/>
      <c r="AH14" s="141">
        <f t="shared" si="2"/>
        <v>27</v>
      </c>
      <c r="AI14" s="145">
        <f>AE14*AB14/100</f>
        <v>27</v>
      </c>
      <c r="AJ14" s="144"/>
      <c r="AK14" s="144"/>
      <c r="AL14" s="144"/>
      <c r="AM14" s="144"/>
      <c r="AN14" s="144"/>
      <c r="AO14" s="144"/>
      <c r="AP14" s="144"/>
      <c r="AQ14" s="139"/>
      <c r="AV14" s="11"/>
    </row>
    <row r="15" spans="1:48" ht="15" customHeight="1">
      <c r="A15" s="363">
        <f>Z15%*AD15</f>
        <v>-130.94872402022855</v>
      </c>
      <c r="B15" s="323"/>
      <c r="C15" s="323"/>
      <c r="D15" s="323"/>
      <c r="E15" s="323"/>
      <c r="F15" s="323"/>
      <c r="G15" s="323"/>
      <c r="H15" s="323"/>
      <c r="I15" s="323"/>
      <c r="J15" s="323"/>
      <c r="K15" s="323"/>
      <c r="L15" s="323"/>
      <c r="M15" s="323"/>
      <c r="N15" s="323"/>
      <c r="O15" s="323"/>
      <c r="P15" s="323"/>
      <c r="Q15" s="323"/>
      <c r="R15" s="323"/>
      <c r="S15" s="323"/>
      <c r="T15" s="323"/>
      <c r="U15" s="323"/>
      <c r="V15" s="323"/>
      <c r="W15" s="136"/>
      <c r="X15" s="137">
        <f t="shared" si="0"/>
        <v>-130.94872402022855</v>
      </c>
      <c r="Y15" s="138" t="s">
        <v>34</v>
      </c>
      <c r="Z15" s="135">
        <v>100</v>
      </c>
      <c r="AA15" s="136"/>
      <c r="AB15" s="136"/>
      <c r="AC15" s="137"/>
      <c r="AD15" s="135">
        <f>-SUM(AD16:AD80,AD8:AD14)</f>
        <v>-130.94872402022855</v>
      </c>
      <c r="AE15" s="139"/>
      <c r="AF15" s="140"/>
      <c r="AG15" s="139"/>
      <c r="AH15" s="141">
        <f t="shared" ref="AH15:AH52" si="3">SUM(AI15:AQ15)</f>
        <v>0</v>
      </c>
      <c r="AI15" s="140"/>
      <c r="AJ15" s="144"/>
      <c r="AK15" s="144"/>
      <c r="AL15" s="144"/>
      <c r="AM15" s="144"/>
      <c r="AN15" s="144"/>
      <c r="AO15" s="144"/>
      <c r="AP15" s="144"/>
      <c r="AQ15" s="139"/>
      <c r="AV15" s="11"/>
    </row>
    <row r="16" spans="1:48" ht="15" customHeight="1">
      <c r="A16" s="214"/>
      <c r="B16" s="361">
        <v>43</v>
      </c>
      <c r="C16" s="325"/>
      <c r="D16" s="325"/>
      <c r="E16" s="325"/>
      <c r="F16" s="325"/>
      <c r="G16" s="325"/>
      <c r="H16" s="325"/>
      <c r="I16" s="325"/>
      <c r="J16" s="325"/>
      <c r="K16" s="325"/>
      <c r="L16" s="325"/>
      <c r="M16" s="325"/>
      <c r="N16" s="325"/>
      <c r="O16" s="325"/>
      <c r="P16" s="325"/>
      <c r="Q16" s="325"/>
      <c r="R16" s="325"/>
      <c r="S16" s="325"/>
      <c r="T16" s="325"/>
      <c r="U16" s="325"/>
      <c r="V16" s="325"/>
      <c r="W16" s="147"/>
      <c r="X16" s="137">
        <f t="shared" si="0"/>
        <v>43</v>
      </c>
      <c r="Y16" s="149" t="s">
        <v>72</v>
      </c>
      <c r="Z16" s="150"/>
      <c r="AA16" s="147"/>
      <c r="AB16" s="148">
        <v>38</v>
      </c>
      <c r="AC16" s="151"/>
      <c r="AD16" s="150"/>
      <c r="AE16" s="151"/>
      <c r="AF16" s="150"/>
      <c r="AG16" s="151"/>
      <c r="AH16" s="108">
        <f t="shared" si="3"/>
        <v>16.34</v>
      </c>
      <c r="AI16" s="152">
        <f>X16*AB16/100*0.2</f>
        <v>3.2680000000000002</v>
      </c>
      <c r="AJ16" s="273"/>
      <c r="AK16" s="273"/>
      <c r="AL16" s="273"/>
      <c r="AM16" s="273"/>
      <c r="AN16" s="273">
        <f>X16*AB16/100*0.6</f>
        <v>9.8040000000000003</v>
      </c>
      <c r="AO16" s="273"/>
      <c r="AP16" s="273"/>
      <c r="AQ16" s="274">
        <f>X16*AB16/100*0.2</f>
        <v>3.2680000000000002</v>
      </c>
      <c r="AV16" s="11"/>
    </row>
    <row r="17" spans="1:48" ht="15" customHeight="1">
      <c r="A17" s="330"/>
      <c r="B17" s="323"/>
      <c r="C17" s="323"/>
      <c r="D17" s="323"/>
      <c r="E17" s="361">
        <v>145.69999999999999</v>
      </c>
      <c r="F17" s="323"/>
      <c r="G17" s="323"/>
      <c r="H17" s="323"/>
      <c r="I17" s="323"/>
      <c r="J17" s="323"/>
      <c r="K17" s="323"/>
      <c r="L17" s="323"/>
      <c r="M17" s="323"/>
      <c r="N17" s="323"/>
      <c r="O17" s="323"/>
      <c r="P17" s="323"/>
      <c r="Q17" s="323"/>
      <c r="R17" s="323"/>
      <c r="S17" s="323"/>
      <c r="T17" s="323"/>
      <c r="U17" s="323"/>
      <c r="V17" s="323"/>
      <c r="W17" s="144"/>
      <c r="X17" s="137">
        <f t="shared" si="0"/>
        <v>145.69999999999999</v>
      </c>
      <c r="Y17" s="138" t="s">
        <v>55</v>
      </c>
      <c r="Z17" s="135"/>
      <c r="AA17" s="136"/>
      <c r="AB17" s="144">
        <v>80</v>
      </c>
      <c r="AC17" s="137"/>
      <c r="AD17" s="135"/>
      <c r="AE17" s="137"/>
      <c r="AF17" s="135"/>
      <c r="AG17" s="137"/>
      <c r="AH17" s="108">
        <f t="shared" si="3"/>
        <v>116.56</v>
      </c>
      <c r="AI17" s="153">
        <f t="shared" ref="AI17:AI22" si="4">X17*AB17/100</f>
        <v>116.56</v>
      </c>
      <c r="AJ17" s="136"/>
      <c r="AK17" s="136"/>
      <c r="AL17" s="136"/>
      <c r="AM17" s="136"/>
      <c r="AN17" s="136"/>
      <c r="AO17" s="136"/>
      <c r="AP17" s="136"/>
      <c r="AQ17" s="137"/>
      <c r="AS17" s="11"/>
    </row>
    <row r="18" spans="1:48" ht="15" customHeight="1">
      <c r="A18" s="330"/>
      <c r="B18" s="323"/>
      <c r="C18" s="323"/>
      <c r="D18" s="323"/>
      <c r="E18" s="323"/>
      <c r="F18" s="323"/>
      <c r="G18" s="323"/>
      <c r="H18" s="323"/>
      <c r="I18" s="361">
        <v>357.5</v>
      </c>
      <c r="J18" s="323"/>
      <c r="K18" s="323"/>
      <c r="L18" s="323"/>
      <c r="M18" s="323"/>
      <c r="N18" s="323"/>
      <c r="O18" s="323"/>
      <c r="P18" s="323"/>
      <c r="Q18" s="323"/>
      <c r="R18" s="323"/>
      <c r="S18" s="323"/>
      <c r="T18" s="323"/>
      <c r="U18" s="323"/>
      <c r="V18" s="323"/>
      <c r="W18" s="144"/>
      <c r="X18" s="137">
        <f t="shared" si="0"/>
        <v>357.5</v>
      </c>
      <c r="Y18" s="138" t="s">
        <v>56</v>
      </c>
      <c r="Z18" s="135"/>
      <c r="AA18" s="136"/>
      <c r="AB18" s="144">
        <v>85</v>
      </c>
      <c r="AC18" s="137"/>
      <c r="AD18" s="135"/>
      <c r="AE18" s="137"/>
      <c r="AF18" s="135"/>
      <c r="AG18" s="137"/>
      <c r="AH18" s="108">
        <f t="shared" si="3"/>
        <v>303.875</v>
      </c>
      <c r="AI18" s="153">
        <f t="shared" si="4"/>
        <v>303.875</v>
      </c>
      <c r="AJ18" s="136"/>
      <c r="AK18" s="136"/>
      <c r="AL18" s="136"/>
      <c r="AM18" s="136"/>
      <c r="AN18" s="136"/>
      <c r="AO18" s="136"/>
      <c r="AP18" s="136"/>
      <c r="AQ18" s="137"/>
      <c r="AS18" s="11"/>
    </row>
    <row r="19" spans="1:48" ht="15" customHeight="1">
      <c r="A19" s="330"/>
      <c r="B19" s="323"/>
      <c r="C19" s="323"/>
      <c r="D19" s="323"/>
      <c r="E19" s="323"/>
      <c r="F19" s="323"/>
      <c r="G19" s="323"/>
      <c r="H19" s="323"/>
      <c r="I19" s="213"/>
      <c r="J19" s="323"/>
      <c r="K19" s="323"/>
      <c r="L19" s="323"/>
      <c r="M19" s="323"/>
      <c r="N19" s="323"/>
      <c r="O19" s="323"/>
      <c r="P19" s="323"/>
      <c r="Q19" s="213"/>
      <c r="R19" s="213"/>
      <c r="S19" s="361">
        <v>393</v>
      </c>
      <c r="T19" s="323"/>
      <c r="U19" s="323"/>
      <c r="V19" s="323"/>
      <c r="W19" s="144"/>
      <c r="X19" s="137">
        <f t="shared" si="0"/>
        <v>393</v>
      </c>
      <c r="Y19" s="138" t="s">
        <v>57</v>
      </c>
      <c r="Z19" s="135"/>
      <c r="AA19" s="136"/>
      <c r="AB19" s="144">
        <v>75</v>
      </c>
      <c r="AC19" s="137"/>
      <c r="AD19" s="135"/>
      <c r="AE19" s="137"/>
      <c r="AF19" s="135"/>
      <c r="AG19" s="137"/>
      <c r="AH19" s="108">
        <f t="shared" si="3"/>
        <v>294.75</v>
      </c>
      <c r="AI19" s="153">
        <f t="shared" si="4"/>
        <v>294.75</v>
      </c>
      <c r="AJ19" s="136"/>
      <c r="AK19" s="136"/>
      <c r="AL19" s="136"/>
      <c r="AM19" s="136"/>
      <c r="AN19" s="136"/>
      <c r="AO19" s="136"/>
      <c r="AP19" s="136"/>
      <c r="AQ19" s="137"/>
      <c r="AV19" s="11"/>
    </row>
    <row r="20" spans="1:48" ht="15" customHeight="1">
      <c r="A20" s="330"/>
      <c r="B20" s="323"/>
      <c r="C20" s="323"/>
      <c r="D20" s="323"/>
      <c r="E20" s="323"/>
      <c r="F20" s="323"/>
      <c r="G20" s="323"/>
      <c r="H20" s="323"/>
      <c r="I20" s="213"/>
      <c r="J20" s="323"/>
      <c r="K20" s="323"/>
      <c r="L20" s="323"/>
      <c r="M20" s="323"/>
      <c r="N20" s="323"/>
      <c r="O20" s="323"/>
      <c r="P20" s="323"/>
      <c r="Q20" s="213"/>
      <c r="R20" s="361">
        <v>362</v>
      </c>
      <c r="S20" s="213"/>
      <c r="T20" s="323"/>
      <c r="U20" s="323"/>
      <c r="V20" s="323"/>
      <c r="W20" s="144"/>
      <c r="X20" s="137">
        <f t="shared" si="0"/>
        <v>362</v>
      </c>
      <c r="Y20" s="138" t="s">
        <v>58</v>
      </c>
      <c r="Z20" s="135"/>
      <c r="AA20" s="136"/>
      <c r="AB20" s="144">
        <v>65</v>
      </c>
      <c r="AC20" s="137"/>
      <c r="AD20" s="135"/>
      <c r="AE20" s="137"/>
      <c r="AF20" s="135"/>
      <c r="AG20" s="137"/>
      <c r="AH20" s="108">
        <f t="shared" si="3"/>
        <v>235.3</v>
      </c>
      <c r="AI20" s="153">
        <f t="shared" si="4"/>
        <v>235.3</v>
      </c>
      <c r="AJ20" s="136"/>
      <c r="AK20" s="136"/>
      <c r="AL20" s="136"/>
      <c r="AM20" s="136"/>
      <c r="AN20" s="136"/>
      <c r="AO20" s="136"/>
      <c r="AP20" s="136"/>
      <c r="AQ20" s="137"/>
      <c r="AS20" s="11"/>
    </row>
    <row r="21" spans="1:48" ht="15" customHeight="1">
      <c r="A21" s="330"/>
      <c r="B21" s="323"/>
      <c r="C21" s="323"/>
      <c r="D21" s="323"/>
      <c r="E21" s="323"/>
      <c r="F21" s="323"/>
      <c r="G21" s="323"/>
      <c r="H21" s="323"/>
      <c r="I21" s="213"/>
      <c r="J21" s="323"/>
      <c r="K21" s="323"/>
      <c r="L21" s="323"/>
      <c r="M21" s="323"/>
      <c r="N21" s="323"/>
      <c r="O21" s="323"/>
      <c r="P21" s="323"/>
      <c r="Q21" s="361">
        <v>88.7</v>
      </c>
      <c r="R21" s="213"/>
      <c r="S21" s="213"/>
      <c r="T21" s="323"/>
      <c r="U21" s="323"/>
      <c r="V21" s="323"/>
      <c r="W21" s="144"/>
      <c r="X21" s="137">
        <f t="shared" si="0"/>
        <v>88.7</v>
      </c>
      <c r="Y21" s="138" t="s">
        <v>59</v>
      </c>
      <c r="Z21" s="135"/>
      <c r="AA21" s="136"/>
      <c r="AB21" s="144">
        <v>65</v>
      </c>
      <c r="AC21" s="137"/>
      <c r="AD21" s="135"/>
      <c r="AE21" s="137"/>
      <c r="AF21" s="135"/>
      <c r="AG21" s="137"/>
      <c r="AH21" s="108">
        <f t="shared" si="3"/>
        <v>57.655000000000001</v>
      </c>
      <c r="AI21" s="153">
        <f t="shared" si="4"/>
        <v>57.655000000000001</v>
      </c>
      <c r="AJ21" s="136"/>
      <c r="AK21" s="136"/>
      <c r="AL21" s="136"/>
      <c r="AM21" s="136"/>
      <c r="AN21" s="136"/>
      <c r="AO21" s="136"/>
      <c r="AP21" s="136"/>
      <c r="AQ21" s="137"/>
      <c r="AS21" s="11"/>
    </row>
    <row r="22" spans="1:48" ht="15" customHeight="1">
      <c r="A22" s="330"/>
      <c r="B22" s="323"/>
      <c r="C22" s="323"/>
      <c r="D22" s="323"/>
      <c r="E22" s="323"/>
      <c r="F22" s="323"/>
      <c r="G22" s="323"/>
      <c r="H22" s="323"/>
      <c r="I22" s="213"/>
      <c r="J22" s="323"/>
      <c r="K22" s="323"/>
      <c r="L22" s="361">
        <v>9.3000000000000007</v>
      </c>
      <c r="M22" s="323"/>
      <c r="N22" s="323"/>
      <c r="O22" s="323"/>
      <c r="P22" s="323"/>
      <c r="Q22" s="323"/>
      <c r="R22" s="323"/>
      <c r="S22" s="323"/>
      <c r="T22" s="323"/>
      <c r="U22" s="323"/>
      <c r="V22" s="323"/>
      <c r="W22" s="144"/>
      <c r="X22" s="137">
        <f t="shared" si="0"/>
        <v>9.3000000000000007</v>
      </c>
      <c r="Y22" s="138" t="s">
        <v>6</v>
      </c>
      <c r="Z22" s="135"/>
      <c r="AA22" s="136"/>
      <c r="AB22" s="136">
        <v>100</v>
      </c>
      <c r="AC22" s="137"/>
      <c r="AD22" s="135"/>
      <c r="AE22" s="137"/>
      <c r="AF22" s="135"/>
      <c r="AG22" s="137"/>
      <c r="AH22" s="108">
        <f t="shared" si="3"/>
        <v>9.3000000000000007</v>
      </c>
      <c r="AI22" s="153">
        <f t="shared" si="4"/>
        <v>9.3000000000000007</v>
      </c>
      <c r="AJ22" s="136"/>
      <c r="AK22" s="136"/>
      <c r="AL22" s="136"/>
      <c r="AM22" s="136"/>
      <c r="AN22" s="136"/>
      <c r="AO22" s="136"/>
      <c r="AP22" s="136"/>
      <c r="AQ22" s="137"/>
      <c r="AV22" s="11"/>
    </row>
    <row r="23" spans="1:48" ht="15" customHeight="1">
      <c r="A23" s="330"/>
      <c r="B23" s="323"/>
      <c r="C23" s="323"/>
      <c r="D23" s="323"/>
      <c r="E23" s="361">
        <v>20.399999999999999</v>
      </c>
      <c r="F23" s="323"/>
      <c r="G23" s="323"/>
      <c r="H23" s="323"/>
      <c r="I23" s="213"/>
      <c r="J23" s="323"/>
      <c r="K23" s="323"/>
      <c r="L23" s="323"/>
      <c r="M23" s="323"/>
      <c r="N23" s="323"/>
      <c r="O23" s="323"/>
      <c r="P23" s="323"/>
      <c r="Q23" s="323"/>
      <c r="R23" s="323"/>
      <c r="S23" s="323"/>
      <c r="T23" s="323"/>
      <c r="U23" s="323"/>
      <c r="V23" s="323"/>
      <c r="W23" s="144"/>
      <c r="X23" s="137">
        <f t="shared" si="0"/>
        <v>20.399999999999999</v>
      </c>
      <c r="Y23" s="138" t="s">
        <v>60</v>
      </c>
      <c r="Z23" s="135"/>
      <c r="AA23" s="136">
        <v>90</v>
      </c>
      <c r="AB23" s="136"/>
      <c r="AC23" s="137"/>
      <c r="AD23" s="135"/>
      <c r="AE23" s="137"/>
      <c r="AF23" s="135"/>
      <c r="AG23" s="137"/>
      <c r="AH23" s="108">
        <f t="shared" si="3"/>
        <v>18.36</v>
      </c>
      <c r="AI23" s="153"/>
      <c r="AJ23" s="136"/>
      <c r="AK23" s="136"/>
      <c r="AL23" s="136"/>
      <c r="AM23" s="136"/>
      <c r="AN23" s="136">
        <f>X23*AA23/100</f>
        <v>18.36</v>
      </c>
      <c r="AO23" s="136"/>
      <c r="AP23" s="136"/>
      <c r="AQ23" s="137"/>
      <c r="AV23" s="11"/>
    </row>
    <row r="24" spans="1:48" ht="15" customHeight="1">
      <c r="A24" s="330"/>
      <c r="B24" s="323"/>
      <c r="C24" s="323"/>
      <c r="D24" s="323"/>
      <c r="E24" s="323"/>
      <c r="F24" s="323"/>
      <c r="G24" s="323"/>
      <c r="H24" s="323"/>
      <c r="I24" s="361">
        <v>706.5</v>
      </c>
      <c r="J24" s="323"/>
      <c r="K24" s="323"/>
      <c r="L24" s="323"/>
      <c r="M24" s="323"/>
      <c r="N24" s="323"/>
      <c r="O24" s="323"/>
      <c r="P24" s="323"/>
      <c r="Q24" s="323"/>
      <c r="R24" s="323"/>
      <c r="S24" s="323"/>
      <c r="T24" s="323"/>
      <c r="U24" s="323"/>
      <c r="V24" s="323"/>
      <c r="W24" s="144"/>
      <c r="X24" s="137">
        <f t="shared" si="0"/>
        <v>706.5</v>
      </c>
      <c r="Y24" s="138" t="s">
        <v>61</v>
      </c>
      <c r="Z24" s="135"/>
      <c r="AA24" s="136">
        <v>90</v>
      </c>
      <c r="AB24" s="136"/>
      <c r="AC24" s="137"/>
      <c r="AD24" s="135"/>
      <c r="AE24" s="137"/>
      <c r="AF24" s="135"/>
      <c r="AG24" s="137"/>
      <c r="AH24" s="108">
        <f t="shared" si="3"/>
        <v>635.85</v>
      </c>
      <c r="AI24" s="153"/>
      <c r="AJ24" s="136"/>
      <c r="AK24" s="136"/>
      <c r="AL24" s="136"/>
      <c r="AM24" s="136"/>
      <c r="AN24" s="136">
        <f>X24*AA24/100</f>
        <v>635.85</v>
      </c>
      <c r="AO24" s="136"/>
      <c r="AP24" s="136"/>
      <c r="AQ24" s="137"/>
      <c r="AS24" s="11"/>
    </row>
    <row r="25" spans="1:48" ht="15" customHeight="1">
      <c r="A25" s="330"/>
      <c r="B25" s="323"/>
      <c r="C25" s="361"/>
      <c r="D25" s="361"/>
      <c r="E25" s="213"/>
      <c r="F25" s="213"/>
      <c r="G25" s="213"/>
      <c r="H25" s="213"/>
      <c r="I25" s="213"/>
      <c r="J25" s="213"/>
      <c r="K25" s="213"/>
      <c r="L25" s="213"/>
      <c r="M25" s="213"/>
      <c r="N25" s="213"/>
      <c r="O25" s="366"/>
      <c r="P25" s="213"/>
      <c r="Q25" s="213"/>
      <c r="R25" s="213"/>
      <c r="S25" s="361">
        <v>1</v>
      </c>
      <c r="T25" s="366"/>
      <c r="U25" s="213"/>
      <c r="V25" s="213"/>
      <c r="W25" s="110"/>
      <c r="X25" s="137">
        <f t="shared" si="0"/>
        <v>1</v>
      </c>
      <c r="Y25" s="138" t="s">
        <v>217</v>
      </c>
      <c r="Z25" s="135"/>
      <c r="AA25" s="136">
        <v>90</v>
      </c>
      <c r="AB25" s="136"/>
      <c r="AC25" s="137"/>
      <c r="AD25" s="135"/>
      <c r="AE25" s="137"/>
      <c r="AF25" s="135"/>
      <c r="AG25" s="137"/>
      <c r="AH25" s="108">
        <f t="shared" si="3"/>
        <v>0.9</v>
      </c>
      <c r="AI25" s="145"/>
      <c r="AJ25" s="144"/>
      <c r="AK25" s="144"/>
      <c r="AL25" s="144"/>
      <c r="AM25" s="144"/>
      <c r="AN25" s="144">
        <f>X25*AA25/100</f>
        <v>0.9</v>
      </c>
      <c r="AO25" s="144"/>
      <c r="AP25" s="144"/>
      <c r="AQ25" s="137"/>
      <c r="AR25" s="15"/>
      <c r="AS25" s="11"/>
    </row>
    <row r="26" spans="1:48" ht="15" customHeight="1">
      <c r="A26" s="330"/>
      <c r="B26" s="323"/>
      <c r="C26" s="323"/>
      <c r="D26" s="323"/>
      <c r="E26" s="323"/>
      <c r="F26" s="323"/>
      <c r="G26" s="323"/>
      <c r="H26" s="323"/>
      <c r="I26" s="323"/>
      <c r="J26" s="323"/>
      <c r="K26" s="323"/>
      <c r="L26" s="361">
        <v>42</v>
      </c>
      <c r="M26" s="323"/>
      <c r="N26" s="323"/>
      <c r="O26" s="323"/>
      <c r="P26" s="323"/>
      <c r="Q26" s="323"/>
      <c r="R26" s="323"/>
      <c r="S26" s="323"/>
      <c r="T26" s="323"/>
      <c r="U26" s="323"/>
      <c r="V26" s="323"/>
      <c r="W26" s="144"/>
      <c r="X26" s="137">
        <f t="shared" si="0"/>
        <v>42</v>
      </c>
      <c r="Y26" s="138" t="s">
        <v>45</v>
      </c>
      <c r="Z26" s="136">
        <v>100</v>
      </c>
      <c r="AA26" s="136"/>
      <c r="AB26" s="136"/>
      <c r="AC26" s="137"/>
      <c r="AD26" s="135">
        <f>X26*Z26/100</f>
        <v>42</v>
      </c>
      <c r="AE26" s="137"/>
      <c r="AF26" s="135"/>
      <c r="AG26" s="137"/>
      <c r="AH26" s="108">
        <f t="shared" si="3"/>
        <v>0</v>
      </c>
      <c r="AI26" s="145"/>
      <c r="AJ26" s="144"/>
      <c r="AK26" s="144"/>
      <c r="AL26" s="144"/>
      <c r="AM26" s="144"/>
      <c r="AN26" s="144"/>
      <c r="AO26" s="144"/>
      <c r="AP26" s="144"/>
      <c r="AQ26" s="137"/>
      <c r="AV26" s="11"/>
    </row>
    <row r="27" spans="1:48" ht="15" customHeight="1">
      <c r="A27" s="330"/>
      <c r="B27" s="323"/>
      <c r="C27" s="323"/>
      <c r="D27" s="323"/>
      <c r="E27" s="323"/>
      <c r="F27" s="323"/>
      <c r="G27" s="323"/>
      <c r="H27" s="323"/>
      <c r="I27" s="323"/>
      <c r="J27" s="361">
        <v>1209.5999999999999</v>
      </c>
      <c r="K27" s="323"/>
      <c r="L27" s="323"/>
      <c r="M27" s="323"/>
      <c r="N27" s="323"/>
      <c r="O27" s="323"/>
      <c r="P27" s="323"/>
      <c r="Q27" s="323"/>
      <c r="R27" s="323"/>
      <c r="S27" s="323"/>
      <c r="T27" s="323"/>
      <c r="U27" s="323"/>
      <c r="V27" s="323"/>
      <c r="W27" s="144"/>
      <c r="X27" s="137">
        <f t="shared" si="0"/>
        <v>1209.5999999999999</v>
      </c>
      <c r="Y27" s="138" t="s">
        <v>62</v>
      </c>
      <c r="Z27" s="136">
        <v>100</v>
      </c>
      <c r="AA27" s="136"/>
      <c r="AB27" s="136"/>
      <c r="AC27" s="137"/>
      <c r="AD27" s="135">
        <f>Z27*X27/100</f>
        <v>1209.5999999999999</v>
      </c>
      <c r="AE27" s="137"/>
      <c r="AF27" s="135"/>
      <c r="AG27" s="137"/>
      <c r="AH27" s="108">
        <f t="shared" si="3"/>
        <v>0</v>
      </c>
      <c r="AI27" s="145"/>
      <c r="AJ27" s="144"/>
      <c r="AK27" s="144"/>
      <c r="AL27" s="144"/>
      <c r="AM27" s="144"/>
      <c r="AN27" s="144"/>
      <c r="AO27" s="144"/>
      <c r="AP27" s="144"/>
      <c r="AQ27" s="137"/>
      <c r="AV27" s="11"/>
    </row>
    <row r="28" spans="1:48" ht="15" customHeight="1">
      <c r="A28" s="330"/>
      <c r="B28" s="323"/>
      <c r="C28" s="323"/>
      <c r="D28" s="323"/>
      <c r="E28" s="323"/>
      <c r="F28" s="323"/>
      <c r="G28" s="323"/>
      <c r="H28" s="323"/>
      <c r="I28" s="323"/>
      <c r="J28" s="361"/>
      <c r="K28" s="323"/>
      <c r="L28" s="323"/>
      <c r="M28" s="323"/>
      <c r="N28" s="323"/>
      <c r="O28" s="323"/>
      <c r="P28" s="323"/>
      <c r="Q28" s="323"/>
      <c r="R28" s="323"/>
      <c r="S28" s="323"/>
      <c r="T28" s="323"/>
      <c r="U28" s="323"/>
      <c r="V28" s="323"/>
      <c r="W28" s="144"/>
      <c r="X28" s="137">
        <f t="shared" si="0"/>
        <v>0</v>
      </c>
      <c r="Y28" s="138" t="s">
        <v>124</v>
      </c>
      <c r="Z28" s="140">
        <v>100</v>
      </c>
      <c r="AA28" s="144"/>
      <c r="AB28" s="144"/>
      <c r="AC28" s="139"/>
      <c r="AD28" s="140">
        <f>Z28*X28/100</f>
        <v>0</v>
      </c>
      <c r="AE28" s="139"/>
      <c r="AF28" s="135"/>
      <c r="AG28" s="137"/>
      <c r="AH28" s="108">
        <f t="shared" si="3"/>
        <v>0</v>
      </c>
      <c r="AI28" s="145"/>
      <c r="AJ28" s="144"/>
      <c r="AK28" s="144"/>
      <c r="AL28" s="144"/>
      <c r="AM28" s="144"/>
      <c r="AN28" s="144"/>
      <c r="AO28" s="144"/>
      <c r="AP28" s="144"/>
      <c r="AQ28" s="137"/>
    </row>
    <row r="29" spans="1:48" ht="15" customHeight="1">
      <c r="A29" s="330"/>
      <c r="B29" s="323"/>
      <c r="C29" s="323"/>
      <c r="D29" s="323"/>
      <c r="E29" s="323"/>
      <c r="F29" s="323"/>
      <c r="G29" s="323"/>
      <c r="H29" s="323"/>
      <c r="I29" s="323"/>
      <c r="J29" s="323"/>
      <c r="K29" s="361"/>
      <c r="L29" s="323"/>
      <c r="M29" s="323"/>
      <c r="N29" s="323"/>
      <c r="O29" s="323"/>
      <c r="P29" s="323"/>
      <c r="Q29" s="323"/>
      <c r="R29" s="323"/>
      <c r="S29" s="323"/>
      <c r="T29" s="323"/>
      <c r="U29" s="323"/>
      <c r="V29" s="323"/>
      <c r="W29" s="144"/>
      <c r="X29" s="137">
        <f t="shared" si="0"/>
        <v>0</v>
      </c>
      <c r="Y29" s="138" t="s">
        <v>7</v>
      </c>
      <c r="Z29" s="110">
        <v>100</v>
      </c>
      <c r="AA29" s="144"/>
      <c r="AB29" s="144"/>
      <c r="AC29" s="139"/>
      <c r="AD29" s="140">
        <f>Z29*X29/100</f>
        <v>0</v>
      </c>
      <c r="AE29" s="139"/>
      <c r="AF29" s="135"/>
      <c r="AG29" s="137"/>
      <c r="AH29" s="108">
        <f t="shared" si="3"/>
        <v>0</v>
      </c>
      <c r="AI29" s="145"/>
      <c r="AJ29" s="144"/>
      <c r="AK29" s="144"/>
      <c r="AL29" s="144"/>
      <c r="AM29" s="144"/>
      <c r="AN29" s="144"/>
      <c r="AO29" s="144"/>
      <c r="AP29" s="144"/>
      <c r="AQ29" s="137"/>
    </row>
    <row r="30" spans="1:48" ht="15" customHeight="1">
      <c r="A30" s="330"/>
      <c r="B30" s="323"/>
      <c r="C30" s="323"/>
      <c r="D30" s="323"/>
      <c r="E30" s="323"/>
      <c r="F30" s="323"/>
      <c r="G30" s="323"/>
      <c r="H30" s="323"/>
      <c r="I30" s="323"/>
      <c r="J30" s="323"/>
      <c r="K30" s="323"/>
      <c r="L30" s="323"/>
      <c r="M30" s="323"/>
      <c r="N30" s="323"/>
      <c r="O30" s="323"/>
      <c r="P30" s="323"/>
      <c r="Q30" s="323"/>
      <c r="R30" s="323"/>
      <c r="S30" s="323"/>
      <c r="T30" s="323"/>
      <c r="U30" s="323"/>
      <c r="V30" s="323"/>
      <c r="W30" s="144"/>
      <c r="X30" s="137">
        <f t="shared" si="0"/>
        <v>0</v>
      </c>
      <c r="Y30" s="138" t="s">
        <v>8</v>
      </c>
      <c r="Z30" s="144">
        <v>100</v>
      </c>
      <c r="AA30" s="144"/>
      <c r="AB30" s="144"/>
      <c r="AC30" s="139"/>
      <c r="AD30" s="140">
        <f>Z30*X30/100</f>
        <v>0</v>
      </c>
      <c r="AE30" s="139"/>
      <c r="AF30" s="135"/>
      <c r="AG30" s="137"/>
      <c r="AH30" s="108">
        <f t="shared" si="3"/>
        <v>0</v>
      </c>
      <c r="AI30" s="145"/>
      <c r="AJ30" s="144"/>
      <c r="AK30" s="144"/>
      <c r="AL30" s="144"/>
      <c r="AM30" s="144"/>
      <c r="AN30" s="144"/>
      <c r="AO30" s="144"/>
      <c r="AP30" s="144"/>
      <c r="AQ30" s="137"/>
    </row>
    <row r="31" spans="1:48" s="1" customFormat="1" ht="15" customHeight="1">
      <c r="A31" s="215"/>
      <c r="B31" s="323"/>
      <c r="C31" s="323"/>
      <c r="D31" s="323"/>
      <c r="E31" s="323"/>
      <c r="F31" s="323"/>
      <c r="G31" s="323"/>
      <c r="H31" s="323"/>
      <c r="I31" s="361">
        <f>-(O31+T31)*AA31%</f>
        <v>0</v>
      </c>
      <c r="J31" s="323"/>
      <c r="K31" s="323"/>
      <c r="L31" s="323"/>
      <c r="M31" s="323"/>
      <c r="N31" s="323"/>
      <c r="O31" s="323"/>
      <c r="P31" s="323"/>
      <c r="Q31" s="323"/>
      <c r="R31" s="323"/>
      <c r="S31" s="323"/>
      <c r="T31" s="323"/>
      <c r="U31" s="213"/>
      <c r="V31" s="213"/>
      <c r="W31" s="142"/>
      <c r="X31" s="137">
        <f t="shared" si="0"/>
        <v>0</v>
      </c>
      <c r="Y31" s="96" t="s">
        <v>216</v>
      </c>
      <c r="Z31" s="155"/>
      <c r="AA31" s="142">
        <v>100</v>
      </c>
      <c r="AB31" s="142"/>
      <c r="AC31" s="143"/>
      <c r="AD31" s="156"/>
      <c r="AE31" s="143"/>
      <c r="AF31" s="157"/>
      <c r="AG31" s="158"/>
      <c r="AH31" s="159"/>
      <c r="AI31" s="155"/>
      <c r="AJ31" s="142"/>
      <c r="AK31" s="142"/>
      <c r="AL31" s="142"/>
      <c r="AM31" s="142"/>
      <c r="AN31" s="142"/>
      <c r="AO31" s="142"/>
      <c r="AP31" s="142"/>
      <c r="AQ31" s="158"/>
    </row>
    <row r="32" spans="1:48" ht="15" customHeight="1">
      <c r="A32" s="323"/>
      <c r="B32" s="323"/>
      <c r="C32" s="231"/>
      <c r="D32" s="231"/>
      <c r="E32" s="231"/>
      <c r="F32" s="231"/>
      <c r="G32" s="231"/>
      <c r="H32" s="231"/>
      <c r="I32" s="379"/>
      <c r="J32" s="231"/>
      <c r="K32" s="231"/>
      <c r="L32" s="231"/>
      <c r="M32" s="231"/>
      <c r="N32" s="213"/>
      <c r="O32" s="379"/>
      <c r="P32" s="231"/>
      <c r="Q32" s="231"/>
      <c r="R32" s="231"/>
      <c r="S32" s="231"/>
      <c r="T32" s="379"/>
      <c r="U32" s="231"/>
      <c r="V32" s="231"/>
      <c r="W32" s="161"/>
      <c r="X32" s="137">
        <f t="shared" si="0"/>
        <v>0</v>
      </c>
      <c r="Y32" s="96" t="s">
        <v>215</v>
      </c>
      <c r="Z32" s="113"/>
      <c r="AA32" s="142"/>
      <c r="AB32" s="142"/>
      <c r="AC32" s="143"/>
      <c r="AD32" s="140">
        <f>X32*Z32/100</f>
        <v>0</v>
      </c>
      <c r="AE32" s="139"/>
      <c r="AF32" s="140">
        <f>X32*AB32/100</f>
        <v>0</v>
      </c>
      <c r="AG32" s="139"/>
      <c r="AH32" s="108">
        <f>SUM(AI32:AQ32)</f>
        <v>0</v>
      </c>
      <c r="AI32" s="145"/>
      <c r="AJ32" s="142"/>
      <c r="AK32" s="142"/>
      <c r="AL32" s="142"/>
      <c r="AM32" s="142"/>
      <c r="AN32" s="142"/>
      <c r="AO32" s="142"/>
      <c r="AP32" s="142"/>
      <c r="AQ32" s="137"/>
    </row>
    <row r="33" spans="1:44" ht="15" customHeight="1">
      <c r="A33" s="323"/>
      <c r="B33" s="323"/>
      <c r="C33" s="361">
        <v>9.3000000000000007</v>
      </c>
      <c r="D33" s="379"/>
      <c r="E33" s="231"/>
      <c r="F33" s="231"/>
      <c r="G33" s="231"/>
      <c r="H33" s="231"/>
      <c r="I33" s="379"/>
      <c r="J33" s="231"/>
      <c r="K33" s="231"/>
      <c r="L33" s="231"/>
      <c r="M33" s="231"/>
      <c r="N33" s="231"/>
      <c r="O33" s="379">
        <f>7.6*46%</f>
        <v>3.496</v>
      </c>
      <c r="P33" s="323"/>
      <c r="Q33" s="379"/>
      <c r="R33" s="379">
        <v>1915.4</v>
      </c>
      <c r="S33" s="379">
        <v>576.70000000000005</v>
      </c>
      <c r="T33" s="379">
        <f>7.6*54%</f>
        <v>4.1040000000000001</v>
      </c>
      <c r="U33" s="231"/>
      <c r="V33" s="231"/>
      <c r="W33" s="161"/>
      <c r="X33" s="137">
        <f t="shared" si="0"/>
        <v>2509</v>
      </c>
      <c r="Y33" s="138" t="s">
        <v>39</v>
      </c>
      <c r="Z33" s="113">
        <v>19.600000000000001</v>
      </c>
      <c r="AA33" s="142"/>
      <c r="AB33" s="110">
        <v>79.7</v>
      </c>
      <c r="AC33" s="139"/>
      <c r="AD33" s="140">
        <f>X33*Z33/100</f>
        <v>491.76400000000001</v>
      </c>
      <c r="AE33" s="139"/>
      <c r="AF33" s="135">
        <f>X33*AB33/100</f>
        <v>1999.6730000000002</v>
      </c>
      <c r="AG33" s="137"/>
      <c r="AH33" s="108">
        <f t="shared" si="3"/>
        <v>0</v>
      </c>
      <c r="AI33" s="145"/>
      <c r="AJ33" s="144"/>
      <c r="AK33" s="144"/>
      <c r="AL33" s="144"/>
      <c r="AM33" s="144"/>
      <c r="AN33" s="144"/>
      <c r="AO33" s="144"/>
      <c r="AP33" s="144"/>
      <c r="AQ33" s="137"/>
    </row>
    <row r="34" spans="1:44" ht="15" customHeight="1">
      <c r="A34" s="323"/>
      <c r="B34" s="323"/>
      <c r="C34" s="231"/>
      <c r="D34" s="231"/>
      <c r="E34" s="231"/>
      <c r="F34" s="231"/>
      <c r="G34" s="231"/>
      <c r="H34" s="231"/>
      <c r="I34" s="231"/>
      <c r="J34" s="231"/>
      <c r="K34" s="231"/>
      <c r="L34" s="231"/>
      <c r="M34" s="231"/>
      <c r="N34" s="231"/>
      <c r="O34" s="231"/>
      <c r="P34" s="231"/>
      <c r="Q34" s="231"/>
      <c r="R34" s="231"/>
      <c r="S34" s="231"/>
      <c r="T34" s="231"/>
      <c r="U34" s="231"/>
      <c r="V34" s="231"/>
      <c r="W34" s="161"/>
      <c r="X34" s="137">
        <f t="shared" si="0"/>
        <v>0</v>
      </c>
      <c r="Y34" s="138" t="s">
        <v>40</v>
      </c>
      <c r="Z34" s="156"/>
      <c r="AA34" s="142"/>
      <c r="AB34" s="142"/>
      <c r="AC34" s="139"/>
      <c r="AD34" s="140">
        <f>X34*Z34/100</f>
        <v>0</v>
      </c>
      <c r="AE34" s="139"/>
      <c r="AF34" s="135">
        <f>X34*AB34</f>
        <v>0</v>
      </c>
      <c r="AG34" s="137"/>
      <c r="AH34" s="108">
        <f t="shared" si="3"/>
        <v>0</v>
      </c>
      <c r="AI34" s="145"/>
      <c r="AJ34" s="144"/>
      <c r="AK34" s="144"/>
      <c r="AL34" s="144"/>
      <c r="AM34" s="144"/>
      <c r="AN34" s="144"/>
      <c r="AO34" s="144"/>
      <c r="AP34" s="144"/>
      <c r="AQ34" s="137"/>
    </row>
    <row r="35" spans="1:44" ht="15" customHeight="1">
      <c r="A35" s="323"/>
      <c r="B35" s="323"/>
      <c r="C35" s="231"/>
      <c r="D35" s="231"/>
      <c r="E35" s="232"/>
      <c r="F35" s="231"/>
      <c r="G35" s="231"/>
      <c r="H35" s="231"/>
      <c r="I35" s="231"/>
      <c r="J35" s="231"/>
      <c r="K35" s="231"/>
      <c r="L35" s="231"/>
      <c r="M35" s="231"/>
      <c r="N35" s="231"/>
      <c r="O35" s="231"/>
      <c r="P35" s="231"/>
      <c r="Q35" s="231"/>
      <c r="R35" s="231"/>
      <c r="S35" s="231"/>
      <c r="T35" s="231"/>
      <c r="U35" s="231"/>
      <c r="V35" s="231"/>
      <c r="W35" s="161"/>
      <c r="X35" s="137">
        <f t="shared" si="0"/>
        <v>0</v>
      </c>
      <c r="Y35" s="138" t="s">
        <v>41</v>
      </c>
      <c r="Z35" s="156"/>
      <c r="AA35" s="142"/>
      <c r="AB35" s="142"/>
      <c r="AC35" s="139"/>
      <c r="AD35" s="140">
        <f>X35*Z35/100</f>
        <v>0</v>
      </c>
      <c r="AE35" s="139"/>
      <c r="AF35" s="135">
        <f>X35*AB35</f>
        <v>0</v>
      </c>
      <c r="AG35" s="137"/>
      <c r="AH35" s="108">
        <f t="shared" si="3"/>
        <v>0</v>
      </c>
      <c r="AI35" s="145"/>
      <c r="AJ35" s="144"/>
      <c r="AK35" s="144"/>
      <c r="AL35" s="144"/>
      <c r="AM35" s="144"/>
      <c r="AN35" s="144"/>
      <c r="AO35" s="144"/>
      <c r="AP35" s="144"/>
      <c r="AQ35" s="137"/>
    </row>
    <row r="36" spans="1:44" ht="15" customHeight="1">
      <c r="A36" s="323"/>
      <c r="B36" s="323"/>
      <c r="C36" s="231"/>
      <c r="D36" s="231"/>
      <c r="E36" s="379">
        <v>11.1</v>
      </c>
      <c r="F36" s="231"/>
      <c r="G36" s="231"/>
      <c r="H36" s="231"/>
      <c r="I36" s="231"/>
      <c r="J36" s="231"/>
      <c r="K36" s="231"/>
      <c r="L36" s="231"/>
      <c r="M36" s="231"/>
      <c r="N36" s="231"/>
      <c r="O36" s="231"/>
      <c r="P36" s="379">
        <v>22.2</v>
      </c>
      <c r="Q36" s="231"/>
      <c r="R36" s="231"/>
      <c r="S36" s="231"/>
      <c r="T36" s="231"/>
      <c r="U36" s="231"/>
      <c r="V36" s="231"/>
      <c r="W36" s="161"/>
      <c r="X36" s="137">
        <f t="shared" si="0"/>
        <v>33.299999999999997</v>
      </c>
      <c r="Y36" s="138" t="s">
        <v>42</v>
      </c>
      <c r="Z36" s="156"/>
      <c r="AA36" s="142"/>
      <c r="AB36" s="110">
        <v>89.2</v>
      </c>
      <c r="AC36" s="139"/>
      <c r="AD36" s="140"/>
      <c r="AE36" s="139"/>
      <c r="AF36" s="135">
        <f>X36*AB36/100</f>
        <v>29.703599999999998</v>
      </c>
      <c r="AG36" s="137"/>
      <c r="AH36" s="108">
        <f t="shared" si="3"/>
        <v>0</v>
      </c>
      <c r="AI36" s="145"/>
      <c r="AJ36" s="144"/>
      <c r="AK36" s="144"/>
      <c r="AL36" s="144"/>
      <c r="AM36" s="144"/>
      <c r="AN36" s="144"/>
      <c r="AO36" s="144"/>
      <c r="AP36" s="144"/>
      <c r="AQ36" s="137"/>
    </row>
    <row r="37" spans="1:44" s="1" customFormat="1" ht="15" customHeight="1">
      <c r="A37" s="213"/>
      <c r="B37" s="213"/>
      <c r="C37" s="213"/>
      <c r="D37" s="213"/>
      <c r="E37" s="213"/>
      <c r="F37" s="213"/>
      <c r="G37" s="213"/>
      <c r="H37" s="213"/>
      <c r="I37" s="213"/>
      <c r="J37" s="213"/>
      <c r="K37" s="213"/>
      <c r="L37" s="213"/>
      <c r="M37" s="213"/>
      <c r="N37" s="361">
        <f>AF37-AE37</f>
        <v>0</v>
      </c>
      <c r="O37" s="213"/>
      <c r="P37" s="213"/>
      <c r="Q37" s="213"/>
      <c r="R37" s="213"/>
      <c r="S37" s="213"/>
      <c r="T37" s="213"/>
      <c r="U37" s="213"/>
      <c r="V37" s="213"/>
      <c r="W37" s="142"/>
      <c r="X37" s="137">
        <f t="shared" si="0"/>
        <v>0</v>
      </c>
      <c r="Y37" s="96" t="s">
        <v>213</v>
      </c>
      <c r="Z37" s="140"/>
      <c r="AA37" s="144"/>
      <c r="AB37" s="144"/>
      <c r="AC37" s="139"/>
      <c r="AD37" s="156">
        <f>-AE37/$D$2%</f>
        <v>0</v>
      </c>
      <c r="AE37" s="164"/>
      <c r="AF37" s="165">
        <f>AE37*AB37%</f>
        <v>0</v>
      </c>
      <c r="AG37" s="158"/>
      <c r="AH37" s="159"/>
      <c r="AI37" s="155"/>
      <c r="AJ37" s="155"/>
      <c r="AK37" s="142"/>
      <c r="AL37" s="142"/>
      <c r="AM37" s="142"/>
      <c r="AN37" s="142"/>
      <c r="AO37" s="142"/>
      <c r="AP37" s="142"/>
      <c r="AQ37" s="158"/>
    </row>
    <row r="38" spans="1:44" ht="15" customHeight="1">
      <c r="A38" s="213"/>
      <c r="B38" s="213"/>
      <c r="C38" s="213"/>
      <c r="D38" s="213"/>
      <c r="E38" s="213"/>
      <c r="F38" s="213"/>
      <c r="G38" s="213"/>
      <c r="H38" s="213"/>
      <c r="I38" s="213"/>
      <c r="J38" s="213"/>
      <c r="K38" s="213"/>
      <c r="L38" s="213"/>
      <c r="M38" s="213"/>
      <c r="N38" s="213"/>
      <c r="O38" s="213"/>
      <c r="P38" s="213"/>
      <c r="Q38" s="213"/>
      <c r="R38" s="213"/>
      <c r="S38" s="213"/>
      <c r="T38" s="213"/>
      <c r="U38" s="213"/>
      <c r="V38" s="213"/>
      <c r="W38" s="142"/>
      <c r="X38" s="137">
        <f t="shared" si="0"/>
        <v>0</v>
      </c>
      <c r="Y38" s="96" t="s">
        <v>214</v>
      </c>
      <c r="Z38" s="140"/>
      <c r="AA38" s="144"/>
      <c r="AB38" s="144"/>
      <c r="AC38" s="139"/>
      <c r="AD38" s="156">
        <f>-AE38/$D$2%</f>
        <v>0</v>
      </c>
      <c r="AE38" s="139"/>
      <c r="AF38" s="140">
        <f>AE38*AB38%</f>
        <v>0</v>
      </c>
      <c r="AG38" s="158"/>
      <c r="AH38" s="159"/>
      <c r="AI38" s="155"/>
      <c r="AJ38" s="155"/>
      <c r="AK38" s="142"/>
      <c r="AL38" s="142"/>
      <c r="AM38" s="142"/>
      <c r="AN38" s="142"/>
      <c r="AO38" s="142"/>
      <c r="AP38" s="142"/>
      <c r="AQ38" s="158"/>
    </row>
    <row r="39" spans="1:44" ht="15" customHeight="1">
      <c r="A39" s="323"/>
      <c r="B39" s="323"/>
      <c r="C39" s="231"/>
      <c r="D39" s="231"/>
      <c r="E39" s="231"/>
      <c r="F39" s="231"/>
      <c r="G39" s="231"/>
      <c r="H39" s="231"/>
      <c r="I39" s="231"/>
      <c r="J39" s="231"/>
      <c r="K39" s="231"/>
      <c r="L39" s="231"/>
      <c r="M39" s="231"/>
      <c r="N39" s="231"/>
      <c r="O39" s="231"/>
      <c r="P39" s="231"/>
      <c r="Q39" s="231"/>
      <c r="R39" s="231"/>
      <c r="S39" s="231"/>
      <c r="T39" s="231"/>
      <c r="U39" s="231"/>
      <c r="V39" s="231"/>
      <c r="W39" s="161"/>
      <c r="X39" s="137">
        <f t="shared" si="0"/>
        <v>0</v>
      </c>
      <c r="Y39" s="138" t="s">
        <v>63</v>
      </c>
      <c r="Z39" s="156"/>
      <c r="AA39" s="142"/>
      <c r="AB39" s="142"/>
      <c r="AC39" s="112">
        <f>100-22.83</f>
        <v>77.17</v>
      </c>
      <c r="AD39" s="140"/>
      <c r="AE39" s="139"/>
      <c r="AF39" s="135">
        <f>-SUM(AF33:AF38)</f>
        <v>-2029.3766000000003</v>
      </c>
      <c r="AG39" s="137">
        <f>-AF39*AC39/100</f>
        <v>1566.0699222200003</v>
      </c>
      <c r="AH39" s="108">
        <f>SUM(AI39:AQ39)</f>
        <v>1567.6359921422206</v>
      </c>
      <c r="AI39" s="111">
        <f>AG39*65.2%</f>
        <v>1021.0775892874402</v>
      </c>
      <c r="AJ39" s="111">
        <f>AG39*9.9%</f>
        <v>155.04092229978005</v>
      </c>
      <c r="AK39" s="110">
        <f>AG39*13.3%</f>
        <v>208.28729965526006</v>
      </c>
      <c r="AL39" s="110">
        <f>AG39*7%</f>
        <v>109.62489455540003</v>
      </c>
      <c r="AM39" s="110">
        <f>AG39*0%</f>
        <v>0</v>
      </c>
      <c r="AN39" s="110">
        <f>AG39*3.2%</f>
        <v>50.11423751104001</v>
      </c>
      <c r="AO39" s="110">
        <f>AG39*1.5%</f>
        <v>23.491048833300002</v>
      </c>
      <c r="AP39" s="110"/>
      <c r="AQ39" s="137"/>
      <c r="AR39" s="19"/>
    </row>
    <row r="40" spans="1:44" ht="15" customHeight="1">
      <c r="A40" s="323"/>
      <c r="B40" s="323"/>
      <c r="C40" s="231"/>
      <c r="D40" s="231"/>
      <c r="E40" s="379"/>
      <c r="F40" s="231"/>
      <c r="G40" s="231"/>
      <c r="H40" s="231"/>
      <c r="I40" s="231"/>
      <c r="J40" s="231"/>
      <c r="K40" s="231"/>
      <c r="L40" s="231"/>
      <c r="M40" s="231"/>
      <c r="N40" s="231"/>
      <c r="O40" s="379"/>
      <c r="P40" s="231"/>
      <c r="Q40" s="379"/>
      <c r="R40" s="233"/>
      <c r="S40" s="379"/>
      <c r="T40" s="379"/>
      <c r="U40" s="379"/>
      <c r="V40" s="231"/>
      <c r="W40" s="115"/>
      <c r="X40" s="137">
        <f t="shared" si="0"/>
        <v>0</v>
      </c>
      <c r="Y40" s="138" t="s">
        <v>13</v>
      </c>
      <c r="Z40" s="113"/>
      <c r="AA40" s="142"/>
      <c r="AB40" s="110"/>
      <c r="AC40" s="143"/>
      <c r="AD40" s="140">
        <f>X40*Z40/100</f>
        <v>0</v>
      </c>
      <c r="AE40" s="139"/>
      <c r="AF40" s="135">
        <f>X40*AB40/100</f>
        <v>0</v>
      </c>
      <c r="AG40" s="137"/>
      <c r="AH40" s="108">
        <f t="shared" si="3"/>
        <v>0</v>
      </c>
      <c r="AI40" s="155"/>
      <c r="AJ40" s="142"/>
      <c r="AK40" s="142"/>
      <c r="AL40" s="142"/>
      <c r="AM40" s="142"/>
      <c r="AN40" s="142"/>
      <c r="AO40" s="142"/>
      <c r="AP40" s="144"/>
      <c r="AQ40" s="137"/>
    </row>
    <row r="41" spans="1:44" ht="15" customHeight="1">
      <c r="A41" s="323"/>
      <c r="B41" s="323"/>
      <c r="C41" s="231"/>
      <c r="D41" s="231"/>
      <c r="E41" s="379"/>
      <c r="F41" s="231"/>
      <c r="G41" s="231"/>
      <c r="H41" s="231"/>
      <c r="I41" s="231"/>
      <c r="J41" s="231"/>
      <c r="K41" s="231"/>
      <c r="L41" s="231"/>
      <c r="M41" s="231"/>
      <c r="N41" s="231"/>
      <c r="O41" s="231"/>
      <c r="P41" s="231"/>
      <c r="Q41" s="231"/>
      <c r="R41" s="231"/>
      <c r="S41" s="379"/>
      <c r="T41" s="231"/>
      <c r="U41" s="379"/>
      <c r="V41" s="231"/>
      <c r="W41" s="115"/>
      <c r="X41" s="137">
        <f t="shared" si="0"/>
        <v>0</v>
      </c>
      <c r="Y41" s="138" t="s">
        <v>14</v>
      </c>
      <c r="Z41" s="156"/>
      <c r="AA41" s="142"/>
      <c r="AB41" s="110"/>
      <c r="AC41" s="143"/>
      <c r="AD41" s="140">
        <f>X41*Z41/100</f>
        <v>0</v>
      </c>
      <c r="AE41" s="139"/>
      <c r="AF41" s="135">
        <f>X41*AB41/100</f>
        <v>0</v>
      </c>
      <c r="AG41" s="137"/>
      <c r="AH41" s="108">
        <f t="shared" si="3"/>
        <v>0</v>
      </c>
      <c r="AI41" s="155"/>
      <c r="AJ41" s="142"/>
      <c r="AK41" s="142"/>
      <c r="AL41" s="142"/>
      <c r="AM41" s="142"/>
      <c r="AN41" s="142"/>
      <c r="AO41" s="142"/>
      <c r="AP41" s="144"/>
      <c r="AQ41" s="137"/>
    </row>
    <row r="42" spans="1:44" ht="15" customHeight="1">
      <c r="A42" s="323"/>
      <c r="B42" s="323"/>
      <c r="C42" s="231"/>
      <c r="D42" s="231"/>
      <c r="E42" s="231"/>
      <c r="F42" s="231"/>
      <c r="G42" s="231"/>
      <c r="H42" s="231"/>
      <c r="I42" s="231"/>
      <c r="J42" s="231"/>
      <c r="K42" s="231"/>
      <c r="L42" s="231"/>
      <c r="M42" s="231"/>
      <c r="N42" s="231"/>
      <c r="O42" s="231"/>
      <c r="P42" s="231"/>
      <c r="Q42" s="231"/>
      <c r="R42" s="231"/>
      <c r="S42" s="231"/>
      <c r="T42" s="231"/>
      <c r="U42" s="379"/>
      <c r="V42" s="231"/>
      <c r="W42" s="115"/>
      <c r="X42" s="137">
        <f t="shared" si="0"/>
        <v>0</v>
      </c>
      <c r="Y42" s="138" t="s">
        <v>15</v>
      </c>
      <c r="Z42" s="156"/>
      <c r="AA42" s="142"/>
      <c r="AB42" s="142"/>
      <c r="AC42" s="143"/>
      <c r="AD42" s="140">
        <f>X42*Z42/100</f>
        <v>0</v>
      </c>
      <c r="AE42" s="139"/>
      <c r="AF42" s="135">
        <f>X42*AB42/100</f>
        <v>0</v>
      </c>
      <c r="AG42" s="137"/>
      <c r="AH42" s="108">
        <f t="shared" si="3"/>
        <v>0</v>
      </c>
      <c r="AI42" s="155"/>
      <c r="AJ42" s="142"/>
      <c r="AK42" s="142"/>
      <c r="AL42" s="142"/>
      <c r="AM42" s="142"/>
      <c r="AN42" s="142"/>
      <c r="AO42" s="142"/>
      <c r="AP42" s="144"/>
      <c r="AQ42" s="137"/>
    </row>
    <row r="43" spans="1:44" ht="15" customHeight="1">
      <c r="A43" s="323"/>
      <c r="B43" s="323"/>
      <c r="C43" s="231"/>
      <c r="D43" s="231"/>
      <c r="E43" s="231"/>
      <c r="F43" s="231"/>
      <c r="G43" s="231"/>
      <c r="H43" s="231"/>
      <c r="I43" s="231"/>
      <c r="J43" s="231"/>
      <c r="K43" s="231"/>
      <c r="L43" s="231"/>
      <c r="M43" s="231"/>
      <c r="N43" s="231"/>
      <c r="O43" s="231"/>
      <c r="P43" s="231"/>
      <c r="Q43" s="231"/>
      <c r="R43" s="231"/>
      <c r="S43" s="231"/>
      <c r="T43" s="231"/>
      <c r="U43" s="231"/>
      <c r="V43" s="231"/>
      <c r="W43" s="161"/>
      <c r="X43" s="137">
        <f t="shared" si="0"/>
        <v>0</v>
      </c>
      <c r="Y43" s="138" t="s">
        <v>64</v>
      </c>
      <c r="Z43" s="156"/>
      <c r="AA43" s="142"/>
      <c r="AB43" s="142"/>
      <c r="AC43" s="112">
        <f>100-22.83</f>
        <v>77.17</v>
      </c>
      <c r="AD43" s="140"/>
      <c r="AE43" s="139"/>
      <c r="AF43" s="135">
        <f>-SUM(AF40:AF42)</f>
        <v>0</v>
      </c>
      <c r="AG43" s="137">
        <f>-AF43*AC43/100</f>
        <v>0</v>
      </c>
      <c r="AH43" s="108">
        <f t="shared" si="3"/>
        <v>0</v>
      </c>
      <c r="AI43" s="111">
        <f>AG43*65.2%</f>
        <v>0</v>
      </c>
      <c r="AJ43" s="111">
        <f>AG43*9.9%</f>
        <v>0</v>
      </c>
      <c r="AK43" s="110">
        <f>AG43*13.3%</f>
        <v>0</v>
      </c>
      <c r="AL43" s="110">
        <f>AG43*7%</f>
        <v>0</v>
      </c>
      <c r="AM43" s="110">
        <f>AG43*0%</f>
        <v>0</v>
      </c>
      <c r="AN43" s="110">
        <f>AG43*3.2%</f>
        <v>0</v>
      </c>
      <c r="AO43" s="110">
        <f>AG43*1.5%</f>
        <v>0</v>
      </c>
      <c r="AP43" s="110"/>
      <c r="AQ43" s="137"/>
    </row>
    <row r="44" spans="1:44" ht="15" customHeight="1">
      <c r="A44" s="323"/>
      <c r="B44" s="361"/>
      <c r="C44" s="380"/>
      <c r="D44" s="231"/>
      <c r="E44" s="380"/>
      <c r="F44" s="231"/>
      <c r="G44" s="231"/>
      <c r="H44" s="231"/>
      <c r="I44" s="379"/>
      <c r="J44" s="231"/>
      <c r="K44" s="231"/>
      <c r="L44" s="231"/>
      <c r="M44" s="231"/>
      <c r="N44" s="231"/>
      <c r="O44" s="379"/>
      <c r="P44" s="231"/>
      <c r="Q44" s="380"/>
      <c r="R44" s="379"/>
      <c r="S44" s="379"/>
      <c r="T44" s="379"/>
      <c r="U44" s="379"/>
      <c r="V44" s="231"/>
      <c r="W44" s="115"/>
      <c r="X44" s="137">
        <f t="shared" si="0"/>
        <v>0</v>
      </c>
      <c r="Y44" s="138" t="s">
        <v>43</v>
      </c>
      <c r="Z44" s="113"/>
      <c r="AA44" s="142"/>
      <c r="AB44" s="110"/>
      <c r="AC44" s="143"/>
      <c r="AD44" s="135">
        <f>X44*Z44/100</f>
        <v>0</v>
      </c>
      <c r="AE44" s="137"/>
      <c r="AF44" s="135">
        <f t="shared" ref="AF44:AF51" si="5">X44*AB44/100</f>
        <v>0</v>
      </c>
      <c r="AG44" s="137"/>
      <c r="AH44" s="108">
        <f t="shared" si="3"/>
        <v>0</v>
      </c>
      <c r="AI44" s="145"/>
      <c r="AJ44" s="144"/>
      <c r="AK44" s="144"/>
      <c r="AL44" s="144"/>
      <c r="AM44" s="144"/>
      <c r="AN44" s="144"/>
      <c r="AO44" s="144"/>
      <c r="AP44" s="144"/>
      <c r="AQ44" s="137"/>
    </row>
    <row r="45" spans="1:44" ht="15" customHeight="1">
      <c r="A45" s="323"/>
      <c r="B45" s="323"/>
      <c r="C45" s="231"/>
      <c r="D45" s="231"/>
      <c r="E45" s="231"/>
      <c r="F45" s="231"/>
      <c r="G45" s="231"/>
      <c r="H45" s="231"/>
      <c r="I45" s="379">
        <v>101.6</v>
      </c>
      <c r="J45" s="231"/>
      <c r="K45" s="231"/>
      <c r="L45" s="231"/>
      <c r="M45" s="231"/>
      <c r="N45" s="231"/>
      <c r="O45" s="379"/>
      <c r="P45" s="231"/>
      <c r="Q45" s="231"/>
      <c r="R45" s="231"/>
      <c r="S45" s="379"/>
      <c r="T45" s="379"/>
      <c r="U45" s="231"/>
      <c r="V45" s="231"/>
      <c r="W45" s="161"/>
      <c r="X45" s="137">
        <f t="shared" si="0"/>
        <v>101.6</v>
      </c>
      <c r="Y45" s="138" t="s">
        <v>44</v>
      </c>
      <c r="Z45" s="113">
        <v>39.1</v>
      </c>
      <c r="AA45" s="142"/>
      <c r="AB45" s="110">
        <v>53.4</v>
      </c>
      <c r="AC45" s="143"/>
      <c r="AD45" s="135">
        <f>X45*Z45/100</f>
        <v>39.7256</v>
      </c>
      <c r="AE45" s="137"/>
      <c r="AF45" s="135">
        <f t="shared" si="5"/>
        <v>54.254399999999997</v>
      </c>
      <c r="AG45" s="137"/>
      <c r="AH45" s="108">
        <f t="shared" si="3"/>
        <v>0</v>
      </c>
      <c r="AI45" s="145"/>
      <c r="AJ45" s="144"/>
      <c r="AK45" s="144"/>
      <c r="AL45" s="144"/>
      <c r="AM45" s="144"/>
      <c r="AN45" s="144"/>
      <c r="AO45" s="144"/>
      <c r="AP45" s="144"/>
      <c r="AQ45" s="137"/>
    </row>
    <row r="46" spans="1:44" ht="15" customHeight="1">
      <c r="A46" s="323"/>
      <c r="B46" s="323"/>
      <c r="C46" s="231"/>
      <c r="D46" s="231"/>
      <c r="E46" s="231"/>
      <c r="F46" s="231"/>
      <c r="G46" s="231"/>
      <c r="H46" s="231"/>
      <c r="I46" s="379"/>
      <c r="J46" s="231"/>
      <c r="K46" s="231"/>
      <c r="L46" s="231"/>
      <c r="M46" s="231"/>
      <c r="N46" s="231"/>
      <c r="O46" s="231"/>
      <c r="P46" s="231"/>
      <c r="Q46" s="231"/>
      <c r="R46" s="231"/>
      <c r="S46" s="232"/>
      <c r="T46" s="231"/>
      <c r="U46" s="231"/>
      <c r="V46" s="231"/>
      <c r="W46" s="161"/>
      <c r="X46" s="137">
        <f t="shared" si="0"/>
        <v>0</v>
      </c>
      <c r="Y46" s="138" t="s">
        <v>29</v>
      </c>
      <c r="Z46" s="113"/>
      <c r="AA46" s="142"/>
      <c r="AB46" s="110"/>
      <c r="AC46" s="143"/>
      <c r="AD46" s="135">
        <f>X46*Z46/100</f>
        <v>0</v>
      </c>
      <c r="AE46" s="137"/>
      <c r="AF46" s="135">
        <f t="shared" si="5"/>
        <v>0</v>
      </c>
      <c r="AG46" s="137"/>
      <c r="AH46" s="108">
        <f t="shared" si="3"/>
        <v>0</v>
      </c>
      <c r="AI46" s="145"/>
      <c r="AJ46" s="144"/>
      <c r="AK46" s="144"/>
      <c r="AL46" s="144"/>
      <c r="AM46" s="144"/>
      <c r="AN46" s="144"/>
      <c r="AO46" s="144"/>
      <c r="AP46" s="144"/>
      <c r="AQ46" s="137"/>
    </row>
    <row r="47" spans="1:44" ht="15" customHeight="1">
      <c r="A47" s="323"/>
      <c r="B47" s="323"/>
      <c r="C47" s="231"/>
      <c r="D47" s="379"/>
      <c r="E47" s="379"/>
      <c r="F47" s="231"/>
      <c r="G47" s="231"/>
      <c r="H47" s="231"/>
      <c r="I47" s="379">
        <v>54.3</v>
      </c>
      <c r="J47" s="231"/>
      <c r="K47" s="231"/>
      <c r="L47" s="231"/>
      <c r="M47" s="231"/>
      <c r="N47" s="231"/>
      <c r="O47" s="379"/>
      <c r="P47" s="379"/>
      <c r="Q47" s="379">
        <v>43</v>
      </c>
      <c r="R47" s="379"/>
      <c r="S47" s="379">
        <v>18.899999999999999</v>
      </c>
      <c r="T47" s="379"/>
      <c r="U47" s="231"/>
      <c r="V47" s="231"/>
      <c r="W47" s="161"/>
      <c r="X47" s="137">
        <f t="shared" si="0"/>
        <v>116.19999999999999</v>
      </c>
      <c r="Y47" s="138" t="s">
        <v>30</v>
      </c>
      <c r="Z47" s="156"/>
      <c r="AA47" s="142"/>
      <c r="AB47" s="110">
        <v>94.1</v>
      </c>
      <c r="AC47" s="143"/>
      <c r="AD47" s="135">
        <f>X47*Z47/100</f>
        <v>0</v>
      </c>
      <c r="AE47" s="137"/>
      <c r="AF47" s="135">
        <f t="shared" si="5"/>
        <v>109.34419999999999</v>
      </c>
      <c r="AG47" s="137"/>
      <c r="AH47" s="108">
        <f t="shared" si="3"/>
        <v>0</v>
      </c>
      <c r="AI47" s="145"/>
      <c r="AJ47" s="144"/>
      <c r="AK47" s="144"/>
      <c r="AL47" s="144"/>
      <c r="AM47" s="144"/>
      <c r="AN47" s="144"/>
      <c r="AO47" s="144"/>
      <c r="AP47" s="144"/>
      <c r="AQ47" s="137"/>
    </row>
    <row r="48" spans="1:44" s="1" customFormat="1" ht="15" customHeight="1">
      <c r="A48" s="213"/>
      <c r="B48" s="213"/>
      <c r="C48" s="231"/>
      <c r="D48" s="231"/>
      <c r="E48" s="231"/>
      <c r="F48" s="231"/>
      <c r="G48" s="231"/>
      <c r="H48" s="231"/>
      <c r="I48" s="231"/>
      <c r="J48" s="231"/>
      <c r="K48" s="231"/>
      <c r="L48" s="231"/>
      <c r="M48" s="231"/>
      <c r="N48" s="361">
        <f>AF48-AE48</f>
        <v>0</v>
      </c>
      <c r="O48" s="231"/>
      <c r="P48" s="231"/>
      <c r="Q48" s="231"/>
      <c r="R48" s="231"/>
      <c r="S48" s="231"/>
      <c r="T48" s="231"/>
      <c r="U48" s="231"/>
      <c r="V48" s="231"/>
      <c r="W48" s="161"/>
      <c r="X48" s="137">
        <f t="shared" si="0"/>
        <v>0</v>
      </c>
      <c r="Y48" s="138" t="s">
        <v>116</v>
      </c>
      <c r="Z48" s="140"/>
      <c r="AA48" s="144"/>
      <c r="AB48" s="110"/>
      <c r="AC48" s="139"/>
      <c r="AD48" s="156">
        <f>-AE48/$D$2%</f>
        <v>0</v>
      </c>
      <c r="AE48" s="112"/>
      <c r="AF48" s="140">
        <f>AE48*AB48%</f>
        <v>0</v>
      </c>
      <c r="AG48" s="143"/>
      <c r="AH48" s="159"/>
      <c r="AI48" s="155"/>
      <c r="AJ48" s="142"/>
      <c r="AK48" s="142"/>
      <c r="AL48" s="142"/>
      <c r="AM48" s="142"/>
      <c r="AN48" s="142"/>
      <c r="AO48" s="142"/>
      <c r="AP48" s="142"/>
      <c r="AQ48" s="158"/>
    </row>
    <row r="49" spans="1:43" s="1" customFormat="1" ht="15" customHeight="1">
      <c r="A49" s="213"/>
      <c r="B49" s="213"/>
      <c r="C49" s="231"/>
      <c r="D49" s="231"/>
      <c r="E49" s="231"/>
      <c r="F49" s="231"/>
      <c r="G49" s="231"/>
      <c r="H49" s="231"/>
      <c r="I49" s="231"/>
      <c r="J49" s="231"/>
      <c r="K49" s="231"/>
      <c r="L49" s="231"/>
      <c r="M49" s="231"/>
      <c r="N49" s="323"/>
      <c r="O49" s="231"/>
      <c r="P49" s="231"/>
      <c r="Q49" s="231"/>
      <c r="R49" s="231"/>
      <c r="S49" s="231"/>
      <c r="T49" s="231"/>
      <c r="U49" s="231"/>
      <c r="V49" s="231"/>
      <c r="W49" s="161"/>
      <c r="X49" s="137">
        <f t="shared" si="0"/>
        <v>0</v>
      </c>
      <c r="Y49" s="138" t="s">
        <v>117</v>
      </c>
      <c r="Z49" s="140"/>
      <c r="AA49" s="144"/>
      <c r="AB49" s="110">
        <v>100.2</v>
      </c>
      <c r="AC49" s="139"/>
      <c r="AD49" s="156">
        <f>-AE49/$D$2%</f>
        <v>0</v>
      </c>
      <c r="AE49" s="112"/>
      <c r="AF49" s="156">
        <f>AE49*AB49%</f>
        <v>0</v>
      </c>
      <c r="AG49" s="143"/>
      <c r="AH49" s="159"/>
      <c r="AI49" s="155"/>
      <c r="AJ49" s="142"/>
      <c r="AK49" s="142"/>
      <c r="AL49" s="142"/>
      <c r="AM49" s="142"/>
      <c r="AN49" s="142"/>
      <c r="AO49" s="142"/>
      <c r="AP49" s="142"/>
      <c r="AQ49" s="158"/>
    </row>
    <row r="50" spans="1:43" ht="15" customHeight="1">
      <c r="A50" s="323"/>
      <c r="B50" s="323"/>
      <c r="C50" s="231"/>
      <c r="D50" s="231"/>
      <c r="E50" s="231"/>
      <c r="F50" s="231"/>
      <c r="G50" s="231"/>
      <c r="H50" s="231"/>
      <c r="I50" s="231"/>
      <c r="J50" s="231"/>
      <c r="K50" s="231"/>
      <c r="L50" s="379"/>
      <c r="M50" s="231"/>
      <c r="N50" s="213"/>
      <c r="O50" s="231"/>
      <c r="P50" s="231"/>
      <c r="Q50" s="231"/>
      <c r="R50" s="231"/>
      <c r="S50" s="231"/>
      <c r="T50" s="231"/>
      <c r="U50" s="231"/>
      <c r="V50" s="231"/>
      <c r="W50" s="161"/>
      <c r="X50" s="137">
        <f t="shared" si="0"/>
        <v>0</v>
      </c>
      <c r="Y50" s="167" t="s">
        <v>36</v>
      </c>
      <c r="Z50" s="156"/>
      <c r="AA50" s="142"/>
      <c r="AB50" s="110">
        <v>100</v>
      </c>
      <c r="AC50" s="143"/>
      <c r="AD50" s="135"/>
      <c r="AE50" s="137"/>
      <c r="AF50" s="135">
        <f t="shared" si="5"/>
        <v>0</v>
      </c>
      <c r="AG50" s="137"/>
      <c r="AH50" s="108">
        <f t="shared" si="3"/>
        <v>0</v>
      </c>
      <c r="AI50" s="145"/>
      <c r="AJ50" s="144"/>
      <c r="AK50" s="144"/>
      <c r="AL50" s="144"/>
      <c r="AM50" s="144"/>
      <c r="AN50" s="144"/>
      <c r="AO50" s="144"/>
      <c r="AP50" s="144"/>
      <c r="AQ50" s="137"/>
    </row>
    <row r="51" spans="1:43" ht="15" customHeight="1">
      <c r="A51" s="323"/>
      <c r="B51" s="361"/>
      <c r="C51" s="231"/>
      <c r="D51" s="231"/>
      <c r="E51" s="379"/>
      <c r="F51" s="231"/>
      <c r="G51" s="231"/>
      <c r="H51" s="231"/>
      <c r="I51" s="379"/>
      <c r="J51" s="231"/>
      <c r="K51" s="231"/>
      <c r="L51" s="231"/>
      <c r="M51" s="231"/>
      <c r="N51" s="213"/>
      <c r="O51" s="231"/>
      <c r="P51" s="231"/>
      <c r="Q51" s="231"/>
      <c r="R51" s="379"/>
      <c r="S51" s="379"/>
      <c r="T51" s="231"/>
      <c r="U51" s="379"/>
      <c r="V51" s="231"/>
      <c r="W51" s="115"/>
      <c r="X51" s="137">
        <f t="shared" si="0"/>
        <v>0</v>
      </c>
      <c r="Y51" s="138" t="s">
        <v>31</v>
      </c>
      <c r="Z51" s="113"/>
      <c r="AA51" s="142"/>
      <c r="AB51" s="110"/>
      <c r="AC51" s="143"/>
      <c r="AD51" s="135">
        <f>X51*Z51/100</f>
        <v>0</v>
      </c>
      <c r="AE51" s="137"/>
      <c r="AF51" s="135">
        <f t="shared" si="5"/>
        <v>0</v>
      </c>
      <c r="AG51" s="137"/>
      <c r="AH51" s="108">
        <f t="shared" si="3"/>
        <v>0</v>
      </c>
      <c r="AI51" s="145"/>
      <c r="AJ51" s="144"/>
      <c r="AK51" s="144"/>
      <c r="AL51" s="144"/>
      <c r="AM51" s="144"/>
      <c r="AN51" s="144"/>
      <c r="AO51" s="144"/>
      <c r="AP51" s="144"/>
      <c r="AQ51" s="137"/>
    </row>
    <row r="52" spans="1:43" ht="15" customHeight="1">
      <c r="A52" s="323"/>
      <c r="B52" s="323"/>
      <c r="C52" s="231"/>
      <c r="D52" s="231"/>
      <c r="E52" s="231"/>
      <c r="F52" s="231"/>
      <c r="G52" s="231"/>
      <c r="H52" s="231"/>
      <c r="I52" s="231"/>
      <c r="J52" s="231"/>
      <c r="K52" s="231"/>
      <c r="L52" s="231"/>
      <c r="M52" s="231"/>
      <c r="N52" s="213"/>
      <c r="O52" s="231"/>
      <c r="P52" s="231"/>
      <c r="Q52" s="231"/>
      <c r="R52" s="231"/>
      <c r="S52" s="231"/>
      <c r="T52" s="231"/>
      <c r="U52" s="231"/>
      <c r="V52" s="231"/>
      <c r="W52" s="161"/>
      <c r="X52" s="137">
        <f t="shared" si="0"/>
        <v>0</v>
      </c>
      <c r="Y52" s="138" t="s">
        <v>65</v>
      </c>
      <c r="Z52" s="156"/>
      <c r="AA52" s="142"/>
      <c r="AB52" s="142"/>
      <c r="AC52" s="112">
        <f>100-22.83</f>
        <v>77.17</v>
      </c>
      <c r="AD52" s="140"/>
      <c r="AE52" s="139"/>
      <c r="AF52" s="140">
        <f>-SUM(AF44:AF51)</f>
        <v>-163.59859999999998</v>
      </c>
      <c r="AG52" s="139">
        <f>-AF52*AC52/100</f>
        <v>126.24903961999999</v>
      </c>
      <c r="AH52" s="108">
        <f t="shared" si="3"/>
        <v>126.37528865961998</v>
      </c>
      <c r="AI52" s="111">
        <f>AG52*65.2%</f>
        <v>82.314373832239994</v>
      </c>
      <c r="AJ52" s="111">
        <f>AG52*9.9%</f>
        <v>12.49865492238</v>
      </c>
      <c r="AK52" s="110">
        <f>AG52*13.3%</f>
        <v>16.791122269460001</v>
      </c>
      <c r="AL52" s="110">
        <f>AG52*7%</f>
        <v>8.8374327733999998</v>
      </c>
      <c r="AM52" s="110">
        <f>AG52*0%</f>
        <v>0</v>
      </c>
      <c r="AN52" s="110">
        <f>AG52*3.2%</f>
        <v>4.0399692678400001</v>
      </c>
      <c r="AO52" s="110">
        <f>AG52*1.5%</f>
        <v>1.8937355942999998</v>
      </c>
      <c r="AP52" s="110"/>
      <c r="AQ52" s="137"/>
    </row>
    <row r="53" spans="1:43" ht="15" customHeight="1">
      <c r="A53" s="323"/>
      <c r="B53" s="323"/>
      <c r="C53" s="231"/>
      <c r="D53" s="231"/>
      <c r="E53" s="379"/>
      <c r="F53" s="231"/>
      <c r="G53" s="231"/>
      <c r="H53" s="231"/>
      <c r="I53" s="379"/>
      <c r="J53" s="231"/>
      <c r="K53" s="231"/>
      <c r="L53" s="231"/>
      <c r="M53" s="231"/>
      <c r="N53" s="213"/>
      <c r="O53" s="379"/>
      <c r="P53" s="231"/>
      <c r="Q53" s="231"/>
      <c r="R53" s="231"/>
      <c r="S53" s="231"/>
      <c r="T53" s="379"/>
      <c r="U53" s="231"/>
      <c r="V53" s="379">
        <v>23.1</v>
      </c>
      <c r="W53" s="161"/>
      <c r="X53" s="137">
        <f t="shared" si="0"/>
        <v>23.1</v>
      </c>
      <c r="Y53" s="138" t="s">
        <v>16</v>
      </c>
      <c r="Z53" s="113">
        <v>29.3</v>
      </c>
      <c r="AA53" s="142"/>
      <c r="AB53" s="110"/>
      <c r="AC53" s="143"/>
      <c r="AD53" s="140">
        <f>X53*Z53/100</f>
        <v>6.7683</v>
      </c>
      <c r="AE53" s="139"/>
      <c r="AF53" s="140">
        <f>X53*AB53/100</f>
        <v>0</v>
      </c>
      <c r="AG53" s="139"/>
      <c r="AH53" s="108">
        <f t="shared" ref="AH53:AH80" si="6">SUM(AI53:AQ53)</f>
        <v>0</v>
      </c>
      <c r="AI53" s="145"/>
      <c r="AJ53" s="142"/>
      <c r="AK53" s="142"/>
      <c r="AL53" s="142"/>
      <c r="AM53" s="142"/>
      <c r="AN53" s="142"/>
      <c r="AO53" s="142"/>
      <c r="AP53" s="142"/>
      <c r="AQ53" s="137"/>
    </row>
    <row r="54" spans="1:43" ht="15" customHeight="1">
      <c r="A54" s="323"/>
      <c r="B54" s="323"/>
      <c r="C54" s="231"/>
      <c r="D54" s="231"/>
      <c r="E54" s="231"/>
      <c r="F54" s="231"/>
      <c r="G54" s="231"/>
      <c r="H54" s="231"/>
      <c r="I54" s="379"/>
      <c r="J54" s="231"/>
      <c r="K54" s="231"/>
      <c r="L54" s="379"/>
      <c r="M54" s="231"/>
      <c r="N54" s="213"/>
      <c r="O54" s="379"/>
      <c r="P54" s="231"/>
      <c r="Q54" s="231"/>
      <c r="R54" s="231"/>
      <c r="S54" s="379"/>
      <c r="T54" s="379"/>
      <c r="U54" s="231"/>
      <c r="V54" s="231"/>
      <c r="W54" s="161"/>
      <c r="X54" s="151">
        <f t="shared" si="0"/>
        <v>0</v>
      </c>
      <c r="Y54" s="138" t="s">
        <v>17</v>
      </c>
      <c r="Z54" s="156"/>
      <c r="AA54" s="142"/>
      <c r="AB54" s="110"/>
      <c r="AC54" s="143"/>
      <c r="AD54" s="140">
        <f>X54*Z54/100</f>
        <v>0</v>
      </c>
      <c r="AE54" s="139"/>
      <c r="AF54" s="140">
        <f>X54*AB54/100</f>
        <v>0</v>
      </c>
      <c r="AG54" s="139"/>
      <c r="AH54" s="108">
        <f t="shared" si="6"/>
        <v>0</v>
      </c>
      <c r="AI54" s="145"/>
      <c r="AJ54" s="142"/>
      <c r="AK54" s="142"/>
      <c r="AL54" s="142"/>
      <c r="AM54" s="142"/>
      <c r="AN54" s="142"/>
      <c r="AO54" s="142"/>
      <c r="AP54" s="142"/>
      <c r="AQ54" s="137"/>
    </row>
    <row r="55" spans="1:43" ht="15" customHeight="1">
      <c r="A55" s="323"/>
      <c r="B55" s="323"/>
      <c r="C55" s="231"/>
      <c r="D55" s="231"/>
      <c r="E55" s="231"/>
      <c r="F55" s="231"/>
      <c r="G55" s="231"/>
      <c r="H55" s="231"/>
      <c r="I55" s="231"/>
      <c r="J55" s="231"/>
      <c r="K55" s="231"/>
      <c r="L55" s="231"/>
      <c r="M55" s="231"/>
      <c r="N55" s="213"/>
      <c r="O55" s="231"/>
      <c r="P55" s="231"/>
      <c r="Q55" s="231"/>
      <c r="R55" s="231"/>
      <c r="S55" s="231"/>
      <c r="T55" s="231"/>
      <c r="U55" s="231"/>
      <c r="V55" s="231"/>
      <c r="W55" s="161"/>
      <c r="X55" s="151">
        <f t="shared" si="0"/>
        <v>0</v>
      </c>
      <c r="Y55" s="138" t="s">
        <v>66</v>
      </c>
      <c r="Z55" s="156"/>
      <c r="AA55" s="142"/>
      <c r="AB55" s="142"/>
      <c r="AC55" s="112">
        <f>100-22.83</f>
        <v>77.17</v>
      </c>
      <c r="AD55" s="140"/>
      <c r="AE55" s="139"/>
      <c r="AF55" s="140">
        <f>-SUM(AF53:AF54)</f>
        <v>0</v>
      </c>
      <c r="AG55" s="139">
        <f>-AF55*AC55/100</f>
        <v>0</v>
      </c>
      <c r="AH55" s="108">
        <f t="shared" si="6"/>
        <v>0</v>
      </c>
      <c r="AI55" s="111">
        <f>AG55*65.2%</f>
        <v>0</v>
      </c>
      <c r="AJ55" s="111">
        <f>AG55*9.9%</f>
        <v>0</v>
      </c>
      <c r="AK55" s="110">
        <f>AG55*13.3%</f>
        <v>0</v>
      </c>
      <c r="AL55" s="110">
        <f>AG55*7%</f>
        <v>0</v>
      </c>
      <c r="AM55" s="110">
        <f>AG55*0%</f>
        <v>0</v>
      </c>
      <c r="AN55" s="110">
        <f>AG55*3.2%</f>
        <v>0</v>
      </c>
      <c r="AO55" s="110">
        <f>AG55*1.5%</f>
        <v>0</v>
      </c>
      <c r="AP55" s="110"/>
      <c r="AQ55" s="137"/>
    </row>
    <row r="56" spans="1:43" ht="15" customHeight="1">
      <c r="A56" s="323"/>
      <c r="B56" s="323"/>
      <c r="C56" s="231"/>
      <c r="D56" s="379"/>
      <c r="E56" s="379">
        <v>7.5</v>
      </c>
      <c r="F56" s="231"/>
      <c r="G56" s="231"/>
      <c r="H56" s="231"/>
      <c r="I56" s="379">
        <v>18.600000000000001</v>
      </c>
      <c r="J56" s="231"/>
      <c r="K56" s="231"/>
      <c r="L56" s="231"/>
      <c r="M56" s="231"/>
      <c r="N56" s="213"/>
      <c r="O56" s="379"/>
      <c r="P56" s="379"/>
      <c r="Q56" s="379">
        <v>59.3</v>
      </c>
      <c r="R56" s="379"/>
      <c r="S56" s="379"/>
      <c r="T56" s="379"/>
      <c r="U56" s="231"/>
      <c r="V56" s="231"/>
      <c r="W56" s="161"/>
      <c r="X56" s="151">
        <f t="shared" si="0"/>
        <v>85.4</v>
      </c>
      <c r="Y56" s="138" t="s">
        <v>28</v>
      </c>
      <c r="Z56" s="156"/>
      <c r="AA56" s="142"/>
      <c r="AB56" s="110">
        <v>89.9</v>
      </c>
      <c r="AC56" s="143"/>
      <c r="AD56" s="140"/>
      <c r="AE56" s="139"/>
      <c r="AF56" s="140">
        <f>X56*AB56/100</f>
        <v>76.774600000000007</v>
      </c>
      <c r="AG56" s="139"/>
      <c r="AH56" s="108">
        <f t="shared" si="6"/>
        <v>0</v>
      </c>
      <c r="AI56" s="145"/>
      <c r="AJ56" s="144"/>
      <c r="AK56" s="144"/>
      <c r="AL56" s="144"/>
      <c r="AM56" s="144"/>
      <c r="AN56" s="144"/>
      <c r="AO56" s="144"/>
      <c r="AP56" s="144"/>
      <c r="AQ56" s="137"/>
    </row>
    <row r="57" spans="1:43" ht="15" customHeight="1">
      <c r="A57" s="323"/>
      <c r="B57" s="323"/>
      <c r="C57" s="355"/>
      <c r="D57" s="355"/>
      <c r="E57" s="355"/>
      <c r="F57" s="355"/>
      <c r="G57" s="355"/>
      <c r="H57" s="355"/>
      <c r="I57" s="355"/>
      <c r="J57" s="355"/>
      <c r="K57" s="355"/>
      <c r="L57" s="355"/>
      <c r="M57" s="355"/>
      <c r="N57" s="361">
        <f>AF57-AE57</f>
        <v>0</v>
      </c>
      <c r="O57" s="355"/>
      <c r="P57" s="355"/>
      <c r="Q57" s="355"/>
      <c r="R57" s="355"/>
      <c r="S57" s="355"/>
      <c r="T57" s="355"/>
      <c r="U57" s="355"/>
      <c r="V57" s="355"/>
      <c r="W57" s="169"/>
      <c r="X57" s="151">
        <f t="shared" si="0"/>
        <v>0</v>
      </c>
      <c r="Y57" s="138" t="s">
        <v>120</v>
      </c>
      <c r="Z57" s="140"/>
      <c r="AA57" s="144"/>
      <c r="AB57" s="110"/>
      <c r="AC57" s="139"/>
      <c r="AD57" s="140">
        <f>-AE57/$D$2%</f>
        <v>0</v>
      </c>
      <c r="AE57" s="112"/>
      <c r="AF57" s="140">
        <f>AE57*AB57%</f>
        <v>0</v>
      </c>
      <c r="AG57" s="137"/>
      <c r="AH57" s="108"/>
      <c r="AI57" s="145"/>
      <c r="AJ57" s="144"/>
      <c r="AK57" s="144"/>
      <c r="AL57" s="144"/>
      <c r="AM57" s="144"/>
      <c r="AN57" s="144"/>
      <c r="AO57" s="144"/>
      <c r="AP57" s="144"/>
      <c r="AQ57" s="137"/>
    </row>
    <row r="58" spans="1:43" ht="15" customHeight="1">
      <c r="A58" s="323"/>
      <c r="B58" s="323"/>
      <c r="C58" s="355"/>
      <c r="D58" s="355"/>
      <c r="E58" s="355"/>
      <c r="F58" s="355"/>
      <c r="G58" s="355"/>
      <c r="H58" s="355"/>
      <c r="I58" s="355"/>
      <c r="J58" s="355"/>
      <c r="K58" s="355"/>
      <c r="L58" s="355"/>
      <c r="M58" s="355"/>
      <c r="N58" s="355"/>
      <c r="O58" s="355"/>
      <c r="P58" s="355"/>
      <c r="Q58" s="355"/>
      <c r="R58" s="355"/>
      <c r="S58" s="355"/>
      <c r="T58" s="355"/>
      <c r="U58" s="355"/>
      <c r="V58" s="355"/>
      <c r="W58" s="169"/>
      <c r="X58" s="151">
        <f t="shared" si="0"/>
        <v>0</v>
      </c>
      <c r="Y58" s="138" t="s">
        <v>118</v>
      </c>
      <c r="Z58" s="140"/>
      <c r="AA58" s="144"/>
      <c r="AB58" s="110">
        <v>100</v>
      </c>
      <c r="AC58" s="139"/>
      <c r="AD58" s="140">
        <f>-AE58/$D$2%</f>
        <v>0</v>
      </c>
      <c r="AE58" s="112"/>
      <c r="AF58" s="156">
        <f>X58*AB58/100</f>
        <v>0</v>
      </c>
      <c r="AG58" s="139"/>
      <c r="AH58" s="108"/>
      <c r="AI58" s="145"/>
      <c r="AJ58" s="144"/>
      <c r="AK58" s="144"/>
      <c r="AL58" s="144"/>
      <c r="AM58" s="144"/>
      <c r="AN58" s="144"/>
      <c r="AO58" s="144"/>
      <c r="AP58" s="144"/>
      <c r="AQ58" s="137"/>
    </row>
    <row r="59" spans="1:43" ht="15" customHeight="1">
      <c r="A59" s="323"/>
      <c r="B59" s="323"/>
      <c r="C59" s="355"/>
      <c r="D59" s="355"/>
      <c r="E59" s="355"/>
      <c r="F59" s="355"/>
      <c r="G59" s="355"/>
      <c r="H59" s="355"/>
      <c r="I59" s="355"/>
      <c r="J59" s="355"/>
      <c r="K59" s="355"/>
      <c r="L59" s="355"/>
      <c r="M59" s="355"/>
      <c r="N59" s="355"/>
      <c r="O59" s="355"/>
      <c r="P59" s="355"/>
      <c r="Q59" s="355"/>
      <c r="R59" s="355"/>
      <c r="S59" s="355"/>
      <c r="T59" s="355"/>
      <c r="U59" s="355"/>
      <c r="V59" s="355"/>
      <c r="W59" s="169"/>
      <c r="X59" s="151">
        <f t="shared" si="0"/>
        <v>0</v>
      </c>
      <c r="Y59" s="138" t="s">
        <v>119</v>
      </c>
      <c r="Z59" s="140"/>
      <c r="AA59" s="144"/>
      <c r="AB59" s="144"/>
      <c r="AC59" s="139"/>
      <c r="AD59" s="140"/>
      <c r="AE59" s="139"/>
      <c r="AF59" s="140">
        <f>X59*AB59/100</f>
        <v>0</v>
      </c>
      <c r="AG59" s="139"/>
      <c r="AH59" s="108"/>
      <c r="AI59" s="145"/>
      <c r="AJ59" s="144"/>
      <c r="AK59" s="144"/>
      <c r="AL59" s="144"/>
      <c r="AM59" s="144"/>
      <c r="AN59" s="144"/>
      <c r="AO59" s="144"/>
      <c r="AP59" s="144"/>
      <c r="AQ59" s="137"/>
    </row>
    <row r="60" spans="1:43" ht="15" customHeight="1">
      <c r="A60" s="323"/>
      <c r="B60" s="323"/>
      <c r="C60" s="231"/>
      <c r="D60" s="231"/>
      <c r="E60" s="231"/>
      <c r="F60" s="231"/>
      <c r="G60" s="231"/>
      <c r="H60" s="231"/>
      <c r="I60" s="232"/>
      <c r="J60" s="231"/>
      <c r="K60" s="231"/>
      <c r="L60" s="379">
        <v>21.8</v>
      </c>
      <c r="M60" s="231"/>
      <c r="N60" s="231"/>
      <c r="O60" s="231"/>
      <c r="P60" s="231"/>
      <c r="Q60" s="231"/>
      <c r="R60" s="231"/>
      <c r="S60" s="231"/>
      <c r="T60" s="231"/>
      <c r="U60" s="231"/>
      <c r="V60" s="231"/>
      <c r="W60" s="161"/>
      <c r="X60" s="151">
        <f t="shared" si="0"/>
        <v>21.8</v>
      </c>
      <c r="Y60" s="138" t="s">
        <v>247</v>
      </c>
      <c r="Z60" s="156"/>
      <c r="AA60" s="142"/>
      <c r="AB60" s="110">
        <v>100</v>
      </c>
      <c r="AC60" s="143"/>
      <c r="AD60" s="140"/>
      <c r="AE60" s="139"/>
      <c r="AF60" s="140">
        <f>X60*AB60/100</f>
        <v>21.8</v>
      </c>
      <c r="AG60" s="139"/>
      <c r="AH60" s="108">
        <f t="shared" si="6"/>
        <v>0</v>
      </c>
      <c r="AI60" s="145"/>
      <c r="AJ60" s="144"/>
      <c r="AK60" s="144"/>
      <c r="AL60" s="144"/>
      <c r="AM60" s="144"/>
      <c r="AN60" s="144"/>
      <c r="AO60" s="144"/>
      <c r="AP60" s="144"/>
      <c r="AQ60" s="137"/>
    </row>
    <row r="61" spans="1:43" ht="15" customHeight="1">
      <c r="A61" s="330"/>
      <c r="B61" s="323"/>
      <c r="C61" s="231"/>
      <c r="D61" s="231"/>
      <c r="E61" s="231"/>
      <c r="F61" s="231"/>
      <c r="G61" s="231"/>
      <c r="H61" s="231"/>
      <c r="I61" s="231"/>
      <c r="J61" s="231"/>
      <c r="K61" s="231"/>
      <c r="L61" s="231"/>
      <c r="M61" s="231"/>
      <c r="N61" s="231"/>
      <c r="O61" s="231"/>
      <c r="P61" s="231"/>
      <c r="Q61" s="231"/>
      <c r="R61" s="231"/>
      <c r="S61" s="231"/>
      <c r="T61" s="231"/>
      <c r="U61" s="231"/>
      <c r="V61" s="231"/>
      <c r="W61" s="161"/>
      <c r="X61" s="151">
        <f t="shared" si="0"/>
        <v>0</v>
      </c>
      <c r="Y61" s="138" t="s">
        <v>37</v>
      </c>
      <c r="Z61" s="156"/>
      <c r="AA61" s="142"/>
      <c r="AB61" s="142"/>
      <c r="AC61" s="143"/>
      <c r="AD61" s="140">
        <f>X61*Z61%</f>
        <v>0</v>
      </c>
      <c r="AE61" s="139"/>
      <c r="AF61" s="140">
        <f>X61*AB61%</f>
        <v>0</v>
      </c>
      <c r="AG61" s="139"/>
      <c r="AH61" s="108">
        <f t="shared" si="6"/>
        <v>0</v>
      </c>
      <c r="AI61" s="145"/>
      <c r="AJ61" s="144"/>
      <c r="AK61" s="144"/>
      <c r="AL61" s="144"/>
      <c r="AM61" s="144"/>
      <c r="AN61" s="144"/>
      <c r="AO61" s="144"/>
      <c r="AP61" s="144"/>
      <c r="AQ61" s="137"/>
    </row>
    <row r="62" spans="1:43" ht="15" customHeight="1">
      <c r="A62" s="323"/>
      <c r="B62" s="323"/>
      <c r="C62" s="231"/>
      <c r="D62" s="231"/>
      <c r="E62" s="231"/>
      <c r="F62" s="231"/>
      <c r="G62" s="231"/>
      <c r="H62" s="231"/>
      <c r="I62" s="232"/>
      <c r="J62" s="231"/>
      <c r="K62" s="231"/>
      <c r="L62" s="231"/>
      <c r="M62" s="231"/>
      <c r="N62" s="231"/>
      <c r="O62" s="231"/>
      <c r="P62" s="231"/>
      <c r="Q62" s="231"/>
      <c r="R62" s="231"/>
      <c r="S62" s="231"/>
      <c r="T62" s="231"/>
      <c r="U62" s="231"/>
      <c r="V62" s="231"/>
      <c r="W62" s="160"/>
      <c r="X62" s="151">
        <f t="shared" si="0"/>
        <v>0</v>
      </c>
      <c r="Y62" s="138" t="s">
        <v>115</v>
      </c>
      <c r="Z62" s="156"/>
      <c r="AA62" s="142"/>
      <c r="AB62" s="142"/>
      <c r="AC62" s="112">
        <f>100-22.83</f>
        <v>77.17</v>
      </c>
      <c r="AD62" s="140"/>
      <c r="AE62" s="139"/>
      <c r="AF62" s="157">
        <f>-SUM(AF56:AF61)</f>
        <v>-98.574600000000004</v>
      </c>
      <c r="AG62" s="139">
        <f>-AF62*AC62/100</f>
        <v>76.070018820000001</v>
      </c>
      <c r="AH62" s="108">
        <f t="shared" si="6"/>
        <v>76.146088838820006</v>
      </c>
      <c r="AI62" s="111">
        <f>AG62*65.2%</f>
        <v>49.597652270640005</v>
      </c>
      <c r="AJ62" s="111">
        <f>AG62*9.9%</f>
        <v>7.5309318631800002</v>
      </c>
      <c r="AK62" s="110">
        <f>AG62*13.3%</f>
        <v>10.117312503060001</v>
      </c>
      <c r="AL62" s="110">
        <f>AG62*7%</f>
        <v>5.3249013174000002</v>
      </c>
      <c r="AM62" s="110">
        <f>AG62*0%</f>
        <v>0</v>
      </c>
      <c r="AN62" s="110">
        <f>AG62*3.2%</f>
        <v>2.4342406022400001</v>
      </c>
      <c r="AO62" s="110">
        <f>AG62*1.5%</f>
        <v>1.1410502822999999</v>
      </c>
      <c r="AP62" s="110"/>
      <c r="AQ62" s="137"/>
    </row>
    <row r="63" spans="1:43" ht="15" customHeight="1">
      <c r="A63" s="323"/>
      <c r="B63" s="323"/>
      <c r="C63" s="231"/>
      <c r="D63" s="379"/>
      <c r="E63" s="231"/>
      <c r="F63" s="231"/>
      <c r="G63" s="231"/>
      <c r="H63" s="231"/>
      <c r="I63" s="231"/>
      <c r="J63" s="231"/>
      <c r="K63" s="231"/>
      <c r="L63" s="231"/>
      <c r="M63" s="231"/>
      <c r="N63" s="231"/>
      <c r="O63" s="231"/>
      <c r="P63" s="379"/>
      <c r="Q63" s="231"/>
      <c r="R63" s="231"/>
      <c r="S63" s="379"/>
      <c r="T63" s="231"/>
      <c r="U63" s="379"/>
      <c r="V63" s="231"/>
      <c r="W63" s="115"/>
      <c r="X63" s="151">
        <f t="shared" si="0"/>
        <v>0</v>
      </c>
      <c r="Y63" s="138" t="s">
        <v>20</v>
      </c>
      <c r="Z63" s="113"/>
      <c r="AA63" s="142"/>
      <c r="AB63" s="110"/>
      <c r="AC63" s="143"/>
      <c r="AD63" s="135">
        <f t="shared" ref="AD63:AD68" si="7">Z63/100*X63</f>
        <v>0</v>
      </c>
      <c r="AE63" s="137"/>
      <c r="AF63" s="135">
        <f>X63*AB63/100</f>
        <v>0</v>
      </c>
      <c r="AG63" s="137"/>
      <c r="AH63" s="108">
        <f t="shared" si="6"/>
        <v>0</v>
      </c>
      <c r="AI63" s="145"/>
      <c r="AJ63" s="144"/>
      <c r="AK63" s="144"/>
      <c r="AL63" s="144"/>
      <c r="AM63" s="144"/>
      <c r="AN63" s="144"/>
      <c r="AO63" s="144"/>
      <c r="AP63" s="144"/>
      <c r="AQ63" s="137"/>
    </row>
    <row r="64" spans="1:43" ht="15" customHeight="1">
      <c r="A64" s="323"/>
      <c r="B64" s="323"/>
      <c r="C64" s="231"/>
      <c r="D64" s="231"/>
      <c r="E64" s="231"/>
      <c r="F64" s="231"/>
      <c r="G64" s="231"/>
      <c r="H64" s="231"/>
      <c r="I64" s="379"/>
      <c r="J64" s="231"/>
      <c r="K64" s="231"/>
      <c r="L64" s="231"/>
      <c r="M64" s="231"/>
      <c r="N64" s="231"/>
      <c r="O64" s="379"/>
      <c r="P64" s="231"/>
      <c r="Q64" s="231"/>
      <c r="R64" s="231"/>
      <c r="S64" s="231"/>
      <c r="T64" s="379"/>
      <c r="U64" s="231"/>
      <c r="V64" s="231"/>
      <c r="W64" s="160"/>
      <c r="X64" s="151">
        <f t="shared" si="0"/>
        <v>0</v>
      </c>
      <c r="Y64" s="138" t="s">
        <v>21</v>
      </c>
      <c r="Z64" s="113"/>
      <c r="AA64" s="142"/>
      <c r="AB64" s="110"/>
      <c r="AC64" s="143"/>
      <c r="AD64" s="135">
        <f t="shared" si="7"/>
        <v>0</v>
      </c>
      <c r="AE64" s="137"/>
      <c r="AF64" s="135">
        <f>X64*AB64/100</f>
        <v>0</v>
      </c>
      <c r="AG64" s="137"/>
      <c r="AH64" s="108">
        <f t="shared" si="6"/>
        <v>0</v>
      </c>
      <c r="AI64" s="145"/>
      <c r="AJ64" s="144"/>
      <c r="AK64" s="144"/>
      <c r="AL64" s="144"/>
      <c r="AM64" s="144"/>
      <c r="AN64" s="144"/>
      <c r="AO64" s="144"/>
      <c r="AP64" s="144"/>
      <c r="AQ64" s="137"/>
    </row>
    <row r="65" spans="1:43" ht="15" customHeight="1">
      <c r="A65" s="323"/>
      <c r="B65" s="323"/>
      <c r="C65" s="231"/>
      <c r="D65" s="231"/>
      <c r="E65" s="379"/>
      <c r="F65" s="231"/>
      <c r="G65" s="231"/>
      <c r="H65" s="231"/>
      <c r="I65" s="379"/>
      <c r="J65" s="231"/>
      <c r="K65" s="231"/>
      <c r="L65" s="231"/>
      <c r="M65" s="231"/>
      <c r="N65" s="231"/>
      <c r="O65" s="231"/>
      <c r="P65" s="231"/>
      <c r="Q65" s="231"/>
      <c r="R65" s="231"/>
      <c r="S65" s="231"/>
      <c r="T65" s="231"/>
      <c r="U65" s="231"/>
      <c r="V65" s="231"/>
      <c r="W65" s="160"/>
      <c r="X65" s="151">
        <f t="shared" si="0"/>
        <v>0</v>
      </c>
      <c r="Y65" s="138" t="s">
        <v>22</v>
      </c>
      <c r="Z65" s="113"/>
      <c r="AA65" s="142"/>
      <c r="AB65" s="110"/>
      <c r="AC65" s="143"/>
      <c r="AD65" s="135">
        <f t="shared" si="7"/>
        <v>0</v>
      </c>
      <c r="AE65" s="137"/>
      <c r="AF65" s="135">
        <f>X65*AB65/100</f>
        <v>0</v>
      </c>
      <c r="AG65" s="137"/>
      <c r="AH65" s="108">
        <f t="shared" si="6"/>
        <v>0</v>
      </c>
      <c r="AI65" s="145"/>
      <c r="AJ65" s="144"/>
      <c r="AK65" s="144"/>
      <c r="AL65" s="144"/>
      <c r="AM65" s="144"/>
      <c r="AN65" s="144"/>
      <c r="AO65" s="144"/>
      <c r="AP65" s="144"/>
      <c r="AQ65" s="137"/>
    </row>
    <row r="66" spans="1:43" ht="15" customHeight="1">
      <c r="A66" s="323"/>
      <c r="B66" s="323"/>
      <c r="C66" s="323"/>
      <c r="D66" s="323"/>
      <c r="E66" s="361"/>
      <c r="F66" s="323"/>
      <c r="G66" s="323"/>
      <c r="H66" s="323"/>
      <c r="I66" s="361"/>
      <c r="J66" s="323"/>
      <c r="K66" s="323"/>
      <c r="L66" s="323"/>
      <c r="M66" s="323"/>
      <c r="N66" s="323"/>
      <c r="O66" s="361"/>
      <c r="P66" s="323"/>
      <c r="Q66" s="323"/>
      <c r="R66" s="361"/>
      <c r="S66" s="361"/>
      <c r="T66" s="361"/>
      <c r="U66" s="361"/>
      <c r="V66" s="323"/>
      <c r="W66" s="110"/>
      <c r="X66" s="151">
        <f t="shared" si="0"/>
        <v>0</v>
      </c>
      <c r="Y66" s="138" t="s">
        <v>23</v>
      </c>
      <c r="Z66" s="156"/>
      <c r="AA66" s="142"/>
      <c r="AB66" s="110"/>
      <c r="AC66" s="143"/>
      <c r="AD66" s="135">
        <f t="shared" si="7"/>
        <v>0</v>
      </c>
      <c r="AE66" s="137"/>
      <c r="AF66" s="135">
        <f>X66*AB66/100</f>
        <v>0</v>
      </c>
      <c r="AG66" s="137"/>
      <c r="AH66" s="108">
        <f t="shared" si="6"/>
        <v>0</v>
      </c>
      <c r="AI66" s="145"/>
      <c r="AJ66" s="144"/>
      <c r="AK66" s="144"/>
      <c r="AL66" s="144"/>
      <c r="AM66" s="144"/>
      <c r="AN66" s="144"/>
      <c r="AO66" s="144"/>
      <c r="AP66" s="144"/>
      <c r="AQ66" s="137"/>
    </row>
    <row r="67" spans="1:43" ht="15" customHeight="1">
      <c r="A67" s="323"/>
      <c r="B67" s="323"/>
      <c r="C67" s="323"/>
      <c r="D67" s="323"/>
      <c r="E67" s="323"/>
      <c r="F67" s="323"/>
      <c r="G67" s="323"/>
      <c r="H67" s="323"/>
      <c r="I67" s="323"/>
      <c r="J67" s="323"/>
      <c r="K67" s="323"/>
      <c r="L67" s="323"/>
      <c r="M67" s="323"/>
      <c r="N67" s="323"/>
      <c r="O67" s="323"/>
      <c r="P67" s="323"/>
      <c r="Q67" s="323"/>
      <c r="R67" s="323"/>
      <c r="S67" s="323"/>
      <c r="T67" s="323"/>
      <c r="U67" s="323"/>
      <c r="V67" s="323"/>
      <c r="W67" s="136"/>
      <c r="X67" s="151">
        <f t="shared" si="0"/>
        <v>0</v>
      </c>
      <c r="Y67" s="138" t="s">
        <v>24</v>
      </c>
      <c r="Z67" s="156"/>
      <c r="AA67" s="142"/>
      <c r="AB67" s="142"/>
      <c r="AC67" s="143"/>
      <c r="AD67" s="135">
        <f t="shared" si="7"/>
        <v>0</v>
      </c>
      <c r="AE67" s="137"/>
      <c r="AF67" s="135">
        <f>X67*AB67/100</f>
        <v>0</v>
      </c>
      <c r="AG67" s="137"/>
      <c r="AH67" s="108">
        <f t="shared" si="6"/>
        <v>0</v>
      </c>
      <c r="AI67" s="145"/>
      <c r="AJ67" s="144"/>
      <c r="AK67" s="144"/>
      <c r="AL67" s="144"/>
      <c r="AM67" s="144"/>
      <c r="AN67" s="144"/>
      <c r="AO67" s="144"/>
      <c r="AP67" s="144"/>
      <c r="AQ67" s="137"/>
    </row>
    <row r="68" spans="1:43" ht="15" customHeight="1">
      <c r="A68" s="323"/>
      <c r="B68" s="323"/>
      <c r="C68" s="323"/>
      <c r="D68" s="323"/>
      <c r="E68" s="323"/>
      <c r="F68" s="323"/>
      <c r="G68" s="323"/>
      <c r="H68" s="323"/>
      <c r="I68" s="323"/>
      <c r="J68" s="323"/>
      <c r="K68" s="323"/>
      <c r="L68" s="323"/>
      <c r="M68" s="323"/>
      <c r="N68" s="323"/>
      <c r="O68" s="323"/>
      <c r="P68" s="323"/>
      <c r="Q68" s="323"/>
      <c r="R68" s="361"/>
      <c r="S68" s="323"/>
      <c r="T68" s="323"/>
      <c r="U68" s="323"/>
      <c r="V68" s="323"/>
      <c r="W68" s="136"/>
      <c r="X68" s="151">
        <f t="shared" si="0"/>
        <v>0</v>
      </c>
      <c r="Y68" s="138" t="s">
        <v>25</v>
      </c>
      <c r="Z68" s="156"/>
      <c r="AA68" s="142"/>
      <c r="AB68" s="142">
        <v>100</v>
      </c>
      <c r="AC68" s="143"/>
      <c r="AD68" s="135">
        <f t="shared" si="7"/>
        <v>0</v>
      </c>
      <c r="AE68" s="112"/>
      <c r="AF68" s="140"/>
      <c r="AG68" s="137"/>
      <c r="AH68" s="108">
        <f t="shared" si="6"/>
        <v>0</v>
      </c>
      <c r="AI68" s="145"/>
      <c r="AJ68" s="144"/>
      <c r="AK68" s="144"/>
      <c r="AL68" s="144"/>
      <c r="AM68" s="144"/>
      <c r="AN68" s="144"/>
      <c r="AO68" s="144"/>
      <c r="AP68" s="144"/>
      <c r="AQ68" s="137"/>
    </row>
    <row r="69" spans="1:43" ht="15" customHeight="1">
      <c r="A69" s="323"/>
      <c r="B69" s="323"/>
      <c r="C69" s="323"/>
      <c r="D69" s="323"/>
      <c r="E69" s="323"/>
      <c r="F69" s="323"/>
      <c r="G69" s="323"/>
      <c r="H69" s="323"/>
      <c r="I69" s="323"/>
      <c r="J69" s="323"/>
      <c r="K69" s="323"/>
      <c r="L69" s="323"/>
      <c r="M69" s="323"/>
      <c r="N69" s="323"/>
      <c r="O69" s="323"/>
      <c r="P69" s="323"/>
      <c r="Q69" s="323"/>
      <c r="R69" s="323"/>
      <c r="S69" s="323"/>
      <c r="T69" s="323"/>
      <c r="U69" s="323"/>
      <c r="V69" s="323"/>
      <c r="W69" s="136"/>
      <c r="X69" s="151">
        <f t="shared" si="0"/>
        <v>0</v>
      </c>
      <c r="Y69" s="167" t="s">
        <v>26</v>
      </c>
      <c r="Z69" s="157"/>
      <c r="AA69" s="163"/>
      <c r="AB69" s="163"/>
      <c r="AC69" s="172"/>
      <c r="AD69" s="135">
        <f>-AE69</f>
        <v>0</v>
      </c>
      <c r="AE69" s="143">
        <f>0+0+0+0</f>
        <v>0</v>
      </c>
      <c r="AF69" s="156"/>
      <c r="AG69" s="137"/>
      <c r="AH69" s="108">
        <f t="shared" si="6"/>
        <v>0</v>
      </c>
      <c r="AI69" s="145"/>
      <c r="AJ69" s="144"/>
      <c r="AK69" s="144"/>
      <c r="AL69" s="144"/>
      <c r="AM69" s="144"/>
      <c r="AN69" s="144">
        <f>AE69</f>
        <v>0</v>
      </c>
      <c r="AO69" s="144"/>
      <c r="AP69" s="144"/>
      <c r="AQ69" s="137"/>
    </row>
    <row r="70" spans="1:43" ht="15" customHeight="1">
      <c r="A70" s="323"/>
      <c r="B70" s="323"/>
      <c r="C70" s="323"/>
      <c r="D70" s="323"/>
      <c r="E70" s="323"/>
      <c r="F70" s="323"/>
      <c r="G70" s="323"/>
      <c r="H70" s="323"/>
      <c r="I70" s="323"/>
      <c r="J70" s="323"/>
      <c r="K70" s="323"/>
      <c r="L70" s="323"/>
      <c r="M70" s="323"/>
      <c r="N70" s="323"/>
      <c r="O70" s="323"/>
      <c r="P70" s="323"/>
      <c r="Q70" s="323"/>
      <c r="R70" s="323"/>
      <c r="S70" s="323"/>
      <c r="T70" s="323"/>
      <c r="U70" s="323"/>
      <c r="V70" s="323"/>
      <c r="W70" s="136"/>
      <c r="X70" s="151">
        <f t="shared" si="0"/>
        <v>0</v>
      </c>
      <c r="Y70" s="167" t="s">
        <v>27</v>
      </c>
      <c r="Z70" s="157"/>
      <c r="AA70" s="163"/>
      <c r="AB70" s="163"/>
      <c r="AC70" s="143"/>
      <c r="AD70" s="135"/>
      <c r="AE70" s="143"/>
      <c r="AF70" s="156">
        <f>0-0-0-0</f>
        <v>0</v>
      </c>
      <c r="AG70" s="173"/>
      <c r="AH70" s="108">
        <f t="shared" si="6"/>
        <v>0</v>
      </c>
      <c r="AI70" s="145"/>
      <c r="AJ70" s="144"/>
      <c r="AK70" s="144"/>
      <c r="AL70" s="144"/>
      <c r="AM70" s="144"/>
      <c r="AN70" s="144">
        <f>-AF70</f>
        <v>0</v>
      </c>
      <c r="AO70" s="144"/>
      <c r="AP70" s="144"/>
      <c r="AQ70" s="137"/>
    </row>
    <row r="71" spans="1:43" ht="15" customHeight="1">
      <c r="A71" s="323"/>
      <c r="B71" s="323"/>
      <c r="C71" s="323"/>
      <c r="D71" s="323"/>
      <c r="E71" s="323"/>
      <c r="F71" s="323"/>
      <c r="G71" s="323"/>
      <c r="H71" s="323"/>
      <c r="I71" s="323"/>
      <c r="J71" s="323"/>
      <c r="K71" s="323"/>
      <c r="L71" s="323"/>
      <c r="M71" s="323"/>
      <c r="N71" s="323"/>
      <c r="O71" s="323"/>
      <c r="P71" s="323"/>
      <c r="Q71" s="323"/>
      <c r="R71" s="323"/>
      <c r="S71" s="323"/>
      <c r="T71" s="323"/>
      <c r="U71" s="323"/>
      <c r="V71" s="323"/>
      <c r="W71" s="136"/>
      <c r="X71" s="151">
        <f t="shared" si="0"/>
        <v>0</v>
      </c>
      <c r="Y71" s="138" t="s">
        <v>67</v>
      </c>
      <c r="Z71" s="157"/>
      <c r="AA71" s="163"/>
      <c r="AB71" s="163"/>
      <c r="AC71" s="112">
        <f>100-22.83</f>
        <v>77.17</v>
      </c>
      <c r="AD71" s="135"/>
      <c r="AE71" s="137"/>
      <c r="AF71" s="135">
        <f>-SUM(AF63:AF70)</f>
        <v>0</v>
      </c>
      <c r="AG71" s="137">
        <f>-AF71*AC71/100</f>
        <v>0</v>
      </c>
      <c r="AH71" s="108">
        <f t="shared" si="6"/>
        <v>0</v>
      </c>
      <c r="AI71" s="111">
        <f>AG71*65.2%</f>
        <v>0</v>
      </c>
      <c r="AJ71" s="111">
        <f>AG71*9.9%</f>
        <v>0</v>
      </c>
      <c r="AK71" s="110">
        <f>AG71*13.3%</f>
        <v>0</v>
      </c>
      <c r="AL71" s="110">
        <f>AG71*7%</f>
        <v>0</v>
      </c>
      <c r="AM71" s="110">
        <f>AG71*0%</f>
        <v>0</v>
      </c>
      <c r="AN71" s="110">
        <f>AG71*3.2%</f>
        <v>0</v>
      </c>
      <c r="AO71" s="110">
        <f>AG71*1.5%</f>
        <v>0</v>
      </c>
      <c r="AP71" s="110"/>
      <c r="AQ71" s="137"/>
    </row>
    <row r="72" spans="1:43" ht="15" customHeight="1">
      <c r="A72" s="330"/>
      <c r="B72" s="323"/>
      <c r="C72" s="323"/>
      <c r="D72" s="323"/>
      <c r="E72" s="323"/>
      <c r="F72" s="213"/>
      <c r="G72" s="213"/>
      <c r="H72" s="361">
        <f>1027.7*(100%-3.1%)</f>
        <v>995.84130000000005</v>
      </c>
      <c r="I72" s="213"/>
      <c r="J72" s="213"/>
      <c r="K72" s="213"/>
      <c r="L72" s="213"/>
      <c r="M72" s="213"/>
      <c r="N72" s="213"/>
      <c r="O72" s="213"/>
      <c r="P72" s="361">
        <f>1027.7*3.1%</f>
        <v>31.858700000000002</v>
      </c>
      <c r="Q72" s="323"/>
      <c r="R72" s="323"/>
      <c r="S72" s="323"/>
      <c r="T72" s="323"/>
      <c r="U72" s="323"/>
      <c r="V72" s="323"/>
      <c r="W72" s="136"/>
      <c r="X72" s="151">
        <f t="shared" si="0"/>
        <v>1027.7</v>
      </c>
      <c r="Y72" s="138" t="s">
        <v>68</v>
      </c>
      <c r="Z72" s="135"/>
      <c r="AA72" s="136">
        <v>20</v>
      </c>
      <c r="AB72" s="136"/>
      <c r="AC72" s="137"/>
      <c r="AD72" s="135"/>
      <c r="AE72" s="137"/>
      <c r="AF72" s="135"/>
      <c r="AG72" s="137"/>
      <c r="AH72" s="108">
        <f t="shared" si="6"/>
        <v>205.54</v>
      </c>
      <c r="AI72" s="153"/>
      <c r="AJ72" s="136"/>
      <c r="AK72" s="136"/>
      <c r="AL72" s="136"/>
      <c r="AM72" s="136"/>
      <c r="AN72" s="136"/>
      <c r="AO72" s="136"/>
      <c r="AP72" s="136"/>
      <c r="AQ72" s="137">
        <f>X72*AA72/100</f>
        <v>205.54</v>
      </c>
    </row>
    <row r="73" spans="1:43" ht="15" customHeight="1">
      <c r="A73" s="330"/>
      <c r="B73" s="323"/>
      <c r="C73" s="323"/>
      <c r="D73" s="323"/>
      <c r="E73" s="323"/>
      <c r="F73" s="361">
        <f>813.1*(100%-6.7%)</f>
        <v>758.62230000000011</v>
      </c>
      <c r="G73" s="213"/>
      <c r="H73" s="213"/>
      <c r="I73" s="213"/>
      <c r="J73" s="213"/>
      <c r="K73" s="213"/>
      <c r="L73" s="213"/>
      <c r="M73" s="213"/>
      <c r="N73" s="213"/>
      <c r="O73" s="213"/>
      <c r="P73" s="361">
        <f>813.1*6.7%</f>
        <v>54.477700000000006</v>
      </c>
      <c r="Q73" s="323"/>
      <c r="R73" s="323"/>
      <c r="S73" s="323"/>
      <c r="T73" s="323"/>
      <c r="U73" s="323"/>
      <c r="V73" s="323"/>
      <c r="W73" s="136"/>
      <c r="X73" s="151">
        <f t="shared" si="0"/>
        <v>813.10000000000014</v>
      </c>
      <c r="Y73" s="138" t="s">
        <v>69</v>
      </c>
      <c r="Z73" s="135"/>
      <c r="AA73" s="136">
        <v>25</v>
      </c>
      <c r="AB73" s="136"/>
      <c r="AC73" s="137"/>
      <c r="AD73" s="135"/>
      <c r="AE73" s="137"/>
      <c r="AF73" s="135"/>
      <c r="AG73" s="137"/>
      <c r="AH73" s="108">
        <f t="shared" si="6"/>
        <v>203.27500000000003</v>
      </c>
      <c r="AI73" s="153"/>
      <c r="AJ73" s="136"/>
      <c r="AK73" s="136"/>
      <c r="AL73" s="136"/>
      <c r="AM73" s="136"/>
      <c r="AN73" s="136"/>
      <c r="AO73" s="136"/>
      <c r="AP73" s="136"/>
      <c r="AQ73" s="137">
        <f>X73*AA73/100</f>
        <v>203.27500000000003</v>
      </c>
    </row>
    <row r="74" spans="1:43" ht="15" customHeight="1">
      <c r="A74" s="330"/>
      <c r="B74" s="323"/>
      <c r="C74" s="323"/>
      <c r="D74" s="323"/>
      <c r="E74" s="323"/>
      <c r="F74" s="361">
        <f>327*(100%-6.7%)</f>
        <v>305.09100000000001</v>
      </c>
      <c r="G74" s="213"/>
      <c r="H74" s="213"/>
      <c r="I74" s="213"/>
      <c r="J74" s="213"/>
      <c r="K74" s="213"/>
      <c r="L74" s="213"/>
      <c r="M74" s="213"/>
      <c r="N74" s="213"/>
      <c r="O74" s="213"/>
      <c r="P74" s="361">
        <f>327*6.7%</f>
        <v>21.909000000000002</v>
      </c>
      <c r="Q74" s="323"/>
      <c r="R74" s="323"/>
      <c r="S74" s="323"/>
      <c r="T74" s="323"/>
      <c r="U74" s="323"/>
      <c r="V74" s="323"/>
      <c r="W74" s="136"/>
      <c r="X74" s="151">
        <f t="shared" si="0"/>
        <v>327</v>
      </c>
      <c r="Y74" s="138" t="s">
        <v>121</v>
      </c>
      <c r="Z74" s="135"/>
      <c r="AA74" s="136">
        <v>25</v>
      </c>
      <c r="AB74" s="136"/>
      <c r="AC74" s="137"/>
      <c r="AD74" s="135"/>
      <c r="AE74" s="137"/>
      <c r="AF74" s="135"/>
      <c r="AG74" s="137"/>
      <c r="AH74" s="108">
        <f t="shared" si="6"/>
        <v>81.75</v>
      </c>
      <c r="AI74" s="153"/>
      <c r="AJ74" s="136"/>
      <c r="AK74" s="136"/>
      <c r="AL74" s="136"/>
      <c r="AM74" s="136"/>
      <c r="AN74" s="136"/>
      <c r="AO74" s="136"/>
      <c r="AP74" s="136"/>
      <c r="AQ74" s="137">
        <f>X74*AA74/100</f>
        <v>81.75</v>
      </c>
    </row>
    <row r="75" spans="1:43" ht="15" customHeight="1">
      <c r="A75" s="330"/>
      <c r="B75" s="323"/>
      <c r="C75" s="323"/>
      <c r="D75" s="323"/>
      <c r="E75" s="323"/>
      <c r="F75" s="361">
        <f>112.7*(100%-6.7%)</f>
        <v>105.1491</v>
      </c>
      <c r="G75" s="213"/>
      <c r="H75" s="213"/>
      <c r="I75" s="213"/>
      <c r="J75" s="213"/>
      <c r="K75" s="213"/>
      <c r="L75" s="213"/>
      <c r="M75" s="213"/>
      <c r="N75" s="213"/>
      <c r="O75" s="213"/>
      <c r="P75" s="361">
        <f>112.7*6.7%</f>
        <v>7.5509000000000004</v>
      </c>
      <c r="Q75" s="323"/>
      <c r="R75" s="323"/>
      <c r="S75" s="323"/>
      <c r="T75" s="323"/>
      <c r="U75" s="323"/>
      <c r="V75" s="323"/>
      <c r="W75" s="136"/>
      <c r="X75" s="151">
        <f t="shared" si="0"/>
        <v>112.7</v>
      </c>
      <c r="Y75" s="138" t="s">
        <v>9</v>
      </c>
      <c r="Z75" s="135"/>
      <c r="AA75" s="136">
        <v>33</v>
      </c>
      <c r="AB75" s="136"/>
      <c r="AC75" s="137"/>
      <c r="AD75" s="135"/>
      <c r="AE75" s="137"/>
      <c r="AF75" s="135"/>
      <c r="AG75" s="137"/>
      <c r="AH75" s="108">
        <f t="shared" si="6"/>
        <v>37.191000000000003</v>
      </c>
      <c r="AI75" s="153"/>
      <c r="AJ75" s="136"/>
      <c r="AK75" s="136"/>
      <c r="AL75" s="136"/>
      <c r="AM75" s="136"/>
      <c r="AN75" s="136"/>
      <c r="AO75" s="136"/>
      <c r="AP75" s="136"/>
      <c r="AQ75" s="137">
        <f>X75*AA75/100</f>
        <v>37.191000000000003</v>
      </c>
    </row>
    <row r="76" spans="1:43" ht="15" customHeight="1">
      <c r="A76" s="330"/>
      <c r="B76" s="323"/>
      <c r="C76" s="323"/>
      <c r="D76" s="323"/>
      <c r="E76" s="323"/>
      <c r="F76" s="361">
        <f>280.3*(100%-6.7%)</f>
        <v>261.51990000000001</v>
      </c>
      <c r="G76" s="213"/>
      <c r="H76" s="213"/>
      <c r="I76" s="213"/>
      <c r="J76" s="213"/>
      <c r="K76" s="213"/>
      <c r="L76" s="213"/>
      <c r="M76" s="213"/>
      <c r="N76" s="213"/>
      <c r="O76" s="213"/>
      <c r="P76" s="361">
        <f>280.3*6.7%</f>
        <v>18.780100000000001</v>
      </c>
      <c r="Q76" s="323"/>
      <c r="R76" s="323"/>
      <c r="S76" s="323"/>
      <c r="T76" s="323"/>
      <c r="U76" s="323"/>
      <c r="V76" s="323"/>
      <c r="W76" s="136"/>
      <c r="X76" s="137">
        <f>SUM(A76:W76)</f>
        <v>280.3</v>
      </c>
      <c r="Y76" s="138" t="s">
        <v>70</v>
      </c>
      <c r="Z76" s="135"/>
      <c r="AA76" s="136">
        <v>33</v>
      </c>
      <c r="AB76" s="136"/>
      <c r="AC76" s="137"/>
      <c r="AD76" s="135"/>
      <c r="AE76" s="137"/>
      <c r="AF76" s="135"/>
      <c r="AG76" s="137"/>
      <c r="AH76" s="108">
        <f t="shared" si="6"/>
        <v>92.498999999999995</v>
      </c>
      <c r="AI76" s="153"/>
      <c r="AJ76" s="136"/>
      <c r="AK76" s="136"/>
      <c r="AL76" s="136"/>
      <c r="AM76" s="136"/>
      <c r="AN76" s="136"/>
      <c r="AO76" s="136"/>
      <c r="AP76" s="136"/>
      <c r="AQ76" s="137">
        <f>X76*AA76/100</f>
        <v>92.498999999999995</v>
      </c>
    </row>
    <row r="77" spans="1:43" ht="15" customHeight="1">
      <c r="A77" s="330"/>
      <c r="B77" s="323"/>
      <c r="C77" s="323"/>
      <c r="D77" s="323"/>
      <c r="E77" s="323"/>
      <c r="F77" s="361">
        <v>266.8</v>
      </c>
      <c r="G77" s="213"/>
      <c r="H77" s="213"/>
      <c r="I77" s="213"/>
      <c r="J77" s="213"/>
      <c r="K77" s="213"/>
      <c r="L77" s="213"/>
      <c r="M77" s="213"/>
      <c r="N77" s="213"/>
      <c r="O77" s="213"/>
      <c r="P77" s="213"/>
      <c r="Q77" s="323"/>
      <c r="R77" s="323"/>
      <c r="S77" s="323"/>
      <c r="T77" s="323"/>
      <c r="U77" s="323"/>
      <c r="V77" s="323"/>
      <c r="W77" s="136"/>
      <c r="X77" s="137">
        <f>SUM(A77:W77)</f>
        <v>266.8</v>
      </c>
      <c r="Y77" s="138" t="s">
        <v>10</v>
      </c>
      <c r="Z77" s="135"/>
      <c r="AA77" s="136">
        <v>33</v>
      </c>
      <c r="AB77" s="136"/>
      <c r="AC77" s="137"/>
      <c r="AD77" s="135"/>
      <c r="AE77" s="137"/>
      <c r="AF77" s="135"/>
      <c r="AG77" s="137"/>
      <c r="AH77" s="108">
        <f t="shared" si="6"/>
        <v>88.044000000000011</v>
      </c>
      <c r="AI77" s="153"/>
      <c r="AJ77" s="136"/>
      <c r="AK77" s="136"/>
      <c r="AL77" s="136"/>
      <c r="AM77" s="136"/>
      <c r="AN77" s="136"/>
      <c r="AO77" s="136"/>
      <c r="AP77" s="136">
        <f>X77*AA77%</f>
        <v>88.044000000000011</v>
      </c>
      <c r="AQ77" s="137"/>
    </row>
    <row r="78" spans="1:43" ht="15" customHeight="1">
      <c r="A78" s="216"/>
      <c r="B78" s="335"/>
      <c r="C78" s="335"/>
      <c r="D78" s="335"/>
      <c r="E78" s="335"/>
      <c r="F78" s="362">
        <v>51.5</v>
      </c>
      <c r="G78" s="335"/>
      <c r="H78" s="335"/>
      <c r="I78" s="335"/>
      <c r="J78" s="335"/>
      <c r="K78" s="335"/>
      <c r="L78" s="335"/>
      <c r="M78" s="335"/>
      <c r="N78" s="335"/>
      <c r="O78" s="335"/>
      <c r="P78" s="335"/>
      <c r="Q78" s="335"/>
      <c r="R78" s="335"/>
      <c r="S78" s="335"/>
      <c r="T78" s="335"/>
      <c r="U78" s="335"/>
      <c r="V78" s="335"/>
      <c r="W78" s="175"/>
      <c r="X78" s="137">
        <f>SUM(A78:W78)</f>
        <v>51.5</v>
      </c>
      <c r="Y78" s="177" t="s">
        <v>32</v>
      </c>
      <c r="Z78" s="174"/>
      <c r="AA78" s="136">
        <v>33</v>
      </c>
      <c r="AB78" s="175"/>
      <c r="AC78" s="178"/>
      <c r="AD78" s="135">
        <f>-AE78/$D$2%</f>
        <v>0</v>
      </c>
      <c r="AE78" s="179"/>
      <c r="AF78" s="174"/>
      <c r="AG78" s="178"/>
      <c r="AH78" s="108">
        <f t="shared" si="6"/>
        <v>16.995000000000001</v>
      </c>
      <c r="AI78" s="180"/>
      <c r="AJ78" s="175"/>
      <c r="AK78" s="175"/>
      <c r="AL78" s="175"/>
      <c r="AM78" s="175"/>
      <c r="AN78" s="175"/>
      <c r="AO78" s="175"/>
      <c r="AP78" s="175"/>
      <c r="AQ78" s="137">
        <f>X78*AA78/100+AE78*AA78%</f>
        <v>16.995000000000001</v>
      </c>
    </row>
    <row r="79" spans="1:43" ht="15" customHeight="1">
      <c r="A79" s="216"/>
      <c r="B79" s="335"/>
      <c r="C79" s="335"/>
      <c r="D79" s="335"/>
      <c r="E79" s="335"/>
      <c r="F79" s="335"/>
      <c r="G79" s="362">
        <v>760.2</v>
      </c>
      <c r="H79" s="361">
        <v>0.8</v>
      </c>
      <c r="I79" s="335"/>
      <c r="J79" s="335"/>
      <c r="K79" s="335"/>
      <c r="L79" s="335"/>
      <c r="M79" s="335"/>
      <c r="N79" s="335"/>
      <c r="O79" s="335"/>
      <c r="P79" s="335"/>
      <c r="Q79" s="335"/>
      <c r="R79" s="335"/>
      <c r="S79" s="335"/>
      <c r="T79" s="335"/>
      <c r="U79" s="335"/>
      <c r="V79" s="335"/>
      <c r="W79" s="175"/>
      <c r="X79" s="137">
        <f>SUM(A79:W79)</f>
        <v>761</v>
      </c>
      <c r="Y79" s="177" t="s">
        <v>33</v>
      </c>
      <c r="Z79" s="174"/>
      <c r="AA79" s="136">
        <v>33</v>
      </c>
      <c r="AB79" s="175"/>
      <c r="AC79" s="178"/>
      <c r="AD79" s="174"/>
      <c r="AE79" s="178"/>
      <c r="AF79" s="174"/>
      <c r="AG79" s="178"/>
      <c r="AH79" s="108">
        <f t="shared" si="6"/>
        <v>251.13</v>
      </c>
      <c r="AI79" s="180"/>
      <c r="AJ79" s="175"/>
      <c r="AK79" s="175"/>
      <c r="AL79" s="175"/>
      <c r="AM79" s="175"/>
      <c r="AN79" s="175"/>
      <c r="AO79" s="175"/>
      <c r="AP79" s="175"/>
      <c r="AQ79" s="137">
        <f>X79*AA79/100</f>
        <v>251.13</v>
      </c>
    </row>
    <row r="80" spans="1:43" ht="15" customHeight="1" thickBot="1">
      <c r="A80" s="216"/>
      <c r="B80" s="335"/>
      <c r="C80" s="335"/>
      <c r="D80" s="362">
        <v>0.1</v>
      </c>
      <c r="E80" s="335"/>
      <c r="F80" s="362">
        <v>108.6</v>
      </c>
      <c r="G80" s="335"/>
      <c r="H80" s="335"/>
      <c r="I80" s="335"/>
      <c r="J80" s="335"/>
      <c r="K80" s="335"/>
      <c r="L80" s="335"/>
      <c r="M80" s="335"/>
      <c r="N80" s="335"/>
      <c r="O80" s="335"/>
      <c r="P80" s="335"/>
      <c r="Q80" s="335"/>
      <c r="R80" s="335"/>
      <c r="S80" s="335"/>
      <c r="T80" s="335"/>
      <c r="U80" s="335"/>
      <c r="V80" s="335"/>
      <c r="W80" s="175"/>
      <c r="X80" s="178">
        <f t="shared" si="0"/>
        <v>108.69999999999999</v>
      </c>
      <c r="Y80" s="181" t="s">
        <v>11</v>
      </c>
      <c r="Z80" s="182"/>
      <c r="AA80" s="136">
        <v>33</v>
      </c>
      <c r="AB80" s="183"/>
      <c r="AC80" s="184"/>
      <c r="AD80" s="182"/>
      <c r="AE80" s="184"/>
      <c r="AF80" s="182"/>
      <c r="AG80" s="184"/>
      <c r="AH80" s="109">
        <f t="shared" si="6"/>
        <v>35.870999999999995</v>
      </c>
      <c r="AI80" s="185"/>
      <c r="AJ80" s="183"/>
      <c r="AK80" s="183"/>
      <c r="AL80" s="183"/>
      <c r="AM80" s="183"/>
      <c r="AN80" s="183"/>
      <c r="AO80" s="183"/>
      <c r="AP80" s="183"/>
      <c r="AQ80" s="137">
        <f>X80*AA80/100</f>
        <v>35.870999999999995</v>
      </c>
    </row>
    <row r="81" spans="1:44" ht="15" customHeight="1" thickBot="1">
      <c r="A81" s="186">
        <f t="shared" ref="A81:W81" si="8">SUM(A8:A80)</f>
        <v>-130.94872402022855</v>
      </c>
      <c r="B81" s="187">
        <f t="shared" si="8"/>
        <v>43</v>
      </c>
      <c r="C81" s="187">
        <f t="shared" si="8"/>
        <v>9.3000000000000007</v>
      </c>
      <c r="D81" s="187">
        <f t="shared" si="8"/>
        <v>0.1</v>
      </c>
      <c r="E81" s="187">
        <f t="shared" si="8"/>
        <v>184.7</v>
      </c>
      <c r="F81" s="187">
        <f t="shared" si="8"/>
        <v>1857.2823000000001</v>
      </c>
      <c r="G81" s="187">
        <f t="shared" si="8"/>
        <v>760.2</v>
      </c>
      <c r="H81" s="187">
        <f t="shared" si="8"/>
        <v>996.6413</v>
      </c>
      <c r="I81" s="187">
        <f t="shared" si="8"/>
        <v>1238.4999999999998</v>
      </c>
      <c r="J81" s="187">
        <f t="shared" si="8"/>
        <v>1209.5999999999999</v>
      </c>
      <c r="K81" s="187">
        <f t="shared" si="8"/>
        <v>0</v>
      </c>
      <c r="L81" s="187">
        <f t="shared" si="8"/>
        <v>73.099999999999994</v>
      </c>
      <c r="M81" s="187">
        <f t="shared" si="8"/>
        <v>0</v>
      </c>
      <c r="N81" s="187">
        <f t="shared" si="8"/>
        <v>18</v>
      </c>
      <c r="O81" s="187">
        <f t="shared" si="8"/>
        <v>3.496</v>
      </c>
      <c r="P81" s="187">
        <f t="shared" si="8"/>
        <v>156.77640000000002</v>
      </c>
      <c r="Q81" s="187">
        <f t="shared" si="8"/>
        <v>191</v>
      </c>
      <c r="R81" s="187">
        <f t="shared" si="8"/>
        <v>2277.4</v>
      </c>
      <c r="S81" s="187">
        <f t="shared" si="8"/>
        <v>989.6</v>
      </c>
      <c r="T81" s="187">
        <f t="shared" si="8"/>
        <v>4.1040000000000001</v>
      </c>
      <c r="U81" s="187">
        <f t="shared" si="8"/>
        <v>0</v>
      </c>
      <c r="V81" s="187">
        <f t="shared" si="8"/>
        <v>23.1</v>
      </c>
      <c r="W81" s="187">
        <f t="shared" si="8"/>
        <v>0</v>
      </c>
      <c r="X81" s="188">
        <f>SUM(X8:X80)</f>
        <v>9904.9512759797726</v>
      </c>
      <c r="Y81" s="20" t="s">
        <v>2</v>
      </c>
      <c r="Z81" s="189"/>
      <c r="AA81" s="189"/>
      <c r="AB81" s="189"/>
      <c r="AC81" s="189"/>
      <c r="AD81" s="186">
        <f t="shared" ref="AD81:AQ81" si="9">SUM(AD8:AD80)</f>
        <v>-2.8066438062523957E-13</v>
      </c>
      <c r="AE81" s="188">
        <f t="shared" si="9"/>
        <v>1523.7080781374202</v>
      </c>
      <c r="AF81" s="186">
        <f t="shared" si="9"/>
        <v>0</v>
      </c>
      <c r="AG81" s="188">
        <f t="shared" si="9"/>
        <v>1768.3889806600005</v>
      </c>
      <c r="AH81" s="20">
        <f t="shared" si="9"/>
        <v>5808.5266678837306</v>
      </c>
      <c r="AI81" s="190">
        <f t="shared" si="9"/>
        <v>2741.6202714464098</v>
      </c>
      <c r="AJ81" s="187">
        <f t="shared" si="9"/>
        <v>302.20802602089975</v>
      </c>
      <c r="AK81" s="187">
        <f t="shared" si="9"/>
        <v>335.96189547467196</v>
      </c>
      <c r="AL81" s="187">
        <f t="shared" si="9"/>
        <v>270.50695074487504</v>
      </c>
      <c r="AM81" s="187">
        <f t="shared" si="9"/>
        <v>12.772946267896687</v>
      </c>
      <c r="AN81" s="187">
        <f t="shared" si="9"/>
        <v>1030.1969874309311</v>
      </c>
      <c r="AO81" s="187">
        <f t="shared" si="9"/>
        <v>27.550889742567819</v>
      </c>
      <c r="AP81" s="187">
        <f t="shared" si="9"/>
        <v>159.18970075547767</v>
      </c>
      <c r="AQ81" s="188">
        <f t="shared" si="9"/>
        <v>928.51900000000001</v>
      </c>
    </row>
    <row r="82" spans="1:44" ht="15" customHeight="1">
      <c r="A82" s="150">
        <f t="shared" ref="A82:V82" si="10">A81*A89/1000</f>
        <v>-16.253355625390768</v>
      </c>
      <c r="B82" s="147">
        <f t="shared" si="10"/>
        <v>2.7133000000000003</v>
      </c>
      <c r="C82" s="147">
        <f t="shared" si="10"/>
        <v>0.88303500000000013</v>
      </c>
      <c r="D82" s="147">
        <f t="shared" si="10"/>
        <v>7.8840000000000004E-3</v>
      </c>
      <c r="E82" s="147">
        <f t="shared" si="10"/>
        <v>13.6678</v>
      </c>
      <c r="F82" s="147">
        <f t="shared" si="10"/>
        <v>137.4388902</v>
      </c>
      <c r="G82" s="147">
        <f t="shared" si="10"/>
        <v>54.734400000000001</v>
      </c>
      <c r="H82" s="147">
        <f t="shared" si="10"/>
        <v>72.7548149</v>
      </c>
      <c r="I82" s="147">
        <f t="shared" si="10"/>
        <v>70.594499999999982</v>
      </c>
      <c r="J82" s="147">
        <f t="shared" si="10"/>
        <v>0</v>
      </c>
      <c r="K82" s="147">
        <f t="shared" si="10"/>
        <v>0</v>
      </c>
      <c r="L82" s="147">
        <f t="shared" si="10"/>
        <v>0</v>
      </c>
      <c r="M82" s="147">
        <f t="shared" si="10"/>
        <v>0</v>
      </c>
      <c r="N82" s="147">
        <v>0</v>
      </c>
      <c r="O82" s="147">
        <f t="shared" si="10"/>
        <v>0</v>
      </c>
      <c r="P82" s="147">
        <f t="shared" si="10"/>
        <v>0</v>
      </c>
      <c r="Q82" s="147">
        <f t="shared" si="10"/>
        <v>0</v>
      </c>
      <c r="R82" s="147">
        <f t="shared" si="10"/>
        <v>0</v>
      </c>
      <c r="S82" s="147">
        <f t="shared" si="10"/>
        <v>0</v>
      </c>
      <c r="T82" s="147">
        <f t="shared" si="10"/>
        <v>0</v>
      </c>
      <c r="U82" s="147">
        <f t="shared" si="10"/>
        <v>0</v>
      </c>
      <c r="V82" s="147">
        <f t="shared" si="10"/>
        <v>0</v>
      </c>
      <c r="W82" s="147">
        <f>W81*W89/1000</f>
        <v>0</v>
      </c>
      <c r="X82" s="151">
        <f>SUM(A82:W82)</f>
        <v>336.54126847460918</v>
      </c>
      <c r="Y82" s="21" t="s">
        <v>248</v>
      </c>
      <c r="Z82" s="191">
        <f>X82*1000/D1</f>
        <v>3.4248335467827729</v>
      </c>
      <c r="AA82" s="192" t="s">
        <v>12</v>
      </c>
      <c r="AB82" s="192"/>
      <c r="AC82" s="193"/>
      <c r="AD82" s="19"/>
      <c r="AE82" s="19"/>
      <c r="AF82" s="19"/>
      <c r="AG82" s="19"/>
      <c r="AH82" s="19"/>
      <c r="AI82" s="19"/>
      <c r="AJ82" s="19"/>
      <c r="AK82" s="19"/>
      <c r="AL82" s="19"/>
      <c r="AM82" s="19"/>
      <c r="AN82" s="19"/>
      <c r="AO82" s="19"/>
      <c r="AP82" s="19"/>
      <c r="AQ82" s="19"/>
    </row>
    <row r="83" spans="1:44" ht="15" customHeight="1">
      <c r="A83" s="135"/>
      <c r="B83" s="136"/>
      <c r="C83" s="136"/>
      <c r="D83" s="136"/>
      <c r="E83" s="136"/>
      <c r="F83" s="136"/>
      <c r="G83" s="136"/>
      <c r="H83" s="136"/>
      <c r="I83" s="136"/>
      <c r="J83" s="136"/>
      <c r="K83" s="136"/>
      <c r="L83" s="136"/>
      <c r="M83" s="136"/>
      <c r="N83" s="136"/>
      <c r="O83" s="110">
        <v>263</v>
      </c>
      <c r="P83" s="110">
        <v>956</v>
      </c>
      <c r="Q83" s="110">
        <v>946</v>
      </c>
      <c r="R83" s="110">
        <v>438</v>
      </c>
      <c r="S83" s="136"/>
      <c r="T83" s="136"/>
      <c r="U83" s="136"/>
      <c r="V83" s="136"/>
      <c r="W83" s="136"/>
      <c r="X83" s="137">
        <f>SUM(A83:W83)</f>
        <v>2603</v>
      </c>
      <c r="Y83" s="108" t="s">
        <v>35</v>
      </c>
      <c r="Z83" s="93">
        <f>(SUM(J14:V14)+AD15*A87%+SUM(J19:V19)+SUM(J20:V20)+SUM(J21:V21)+SUM(J22:V22)+SUM(J25:V25)+SUM(J72:V72)+SUM(J73:V73)+SUM(J74:V74)+SUM(J75:V75)+SUM(J76:V76)+SUM(J77:V77)+SUM(J78:V78)+SUM(J79:V79)+SUM(J80:V80)+SUM(J26:V26)*(Z26%+AB26%)+SUM(J27:V27)*(Z27%+AB27%)+SUM(J28:V28)*(Z28%+AB28%)+SUM(J29:V29)*(Z29%+AB29%)+SUM(J30:V30)*(Z30%+AB30%)+SUM(J32:V32)*(Z32%+AA32%+AB32%)+SUM(J31:V31)*(AA31%)+SUM(J33:V33)*(Z33%+AB33%)+SUM(J34:V34)*(Z34%+AB34%)+SUM(J35:V35)*(Z35%+AB35%)+SUM(J36:V36)*(Z36%+AB36%)+SUM(J37:V37)+SUM(J40:V40)*(Z40%+AB40%)+SUM(J41:V41)*(Z41%+AB41%)+SUM(J42:V42)*(Z42%+AB42%)+SUM(J44:V44)*(Z44%+AB44%)+SUM(J45:V45)*(Z45%+AB45%)+SUM(J46:V46)*(Z46%+AB46%)+SUM(J47:V47)*(Z47%+AB47%)+SUM(J48:V48)+SUM(J50:V50)*(Z50%+AB50%)+SUM(J51:V51)*(Z51%+AB51%)+SUM(J53:V53)*(Z53%+AA53%+AB53%)+SUM(J54:V54)*(Z54%+AA54%+AB54%)+SUM(J56:V56)*(Z56%+AB56%)+SUM(J57:V57)+SUM(J59:V59)*(Z59%+AB59%)+SUM(J60:V60)*(Z60%+AB60%)+SUM(J61:V61)*(Z61%+AB61%)+SUM(J63:V63)*(Z63%+AB63%)+SUM(J64:V64)*(Z64%+AB64%)+SUM(J65:V65)*(Z65%+AB65%)+SUM(J66:V66)*(Z66%+AB66%)+SUM(J67:V67)*(Z67%+AB67%)+SUM(J68:V68)*(Z68%+AB68%))/(SUM(X8:X14)+SUM(X16:X25)+X32*AA32%+X53*AA53%+X54*AA54%+SUM(X72:X80)+(AG39/AC39%+AG43/AC43%+AG52/AC52%+AG55/AC55%+AG62/AC62%+AG71/AC71%)+AE81+SUM(AE8:AE14)*(1-D2%)+(-AF70))*100</f>
        <v>49.24766476933678</v>
      </c>
      <c r="AA83" s="2" t="s">
        <v>210</v>
      </c>
      <c r="AB83" s="2"/>
      <c r="AC83" s="117"/>
      <c r="AD83" s="19"/>
      <c r="AE83" s="19"/>
      <c r="AF83" s="19"/>
      <c r="AG83" s="19"/>
      <c r="AH83" s="19"/>
      <c r="AI83" s="19"/>
      <c r="AJ83" s="19"/>
      <c r="AK83" s="19"/>
      <c r="AL83" s="19"/>
      <c r="AM83" s="19"/>
      <c r="AN83" s="19"/>
      <c r="AO83" s="19"/>
      <c r="AP83" s="19"/>
      <c r="AQ83" s="19"/>
    </row>
    <row r="84" spans="1:44" ht="15" customHeight="1" thickBot="1">
      <c r="A84" s="182"/>
      <c r="B84" s="183"/>
      <c r="C84" s="183"/>
      <c r="D84" s="183"/>
      <c r="E84" s="183"/>
      <c r="F84" s="183"/>
      <c r="G84" s="183"/>
      <c r="H84" s="183"/>
      <c r="I84" s="183"/>
      <c r="J84" s="183" t="str">
        <f>IF(J83&gt;0,J81/J83*100,"")</f>
        <v/>
      </c>
      <c r="K84" s="183" t="str">
        <f t="shared" ref="K84:W84" si="11">IF(K83&gt;0,K81/K83*100,"")</f>
        <v/>
      </c>
      <c r="L84" s="183" t="str">
        <f t="shared" si="11"/>
        <v/>
      </c>
      <c r="M84" s="183" t="str">
        <f t="shared" si="11"/>
        <v/>
      </c>
      <c r="N84" s="183" t="str">
        <f t="shared" si="11"/>
        <v/>
      </c>
      <c r="O84" s="183">
        <f t="shared" si="11"/>
        <v>1.3292775665399239</v>
      </c>
      <c r="P84" s="183">
        <f t="shared" si="11"/>
        <v>16.399205020920505</v>
      </c>
      <c r="Q84" s="183">
        <f t="shared" si="11"/>
        <v>20.190274841437635</v>
      </c>
      <c r="R84" s="183">
        <f t="shared" si="11"/>
        <v>519.95433789954348</v>
      </c>
      <c r="S84" s="183" t="str">
        <f t="shared" si="11"/>
        <v/>
      </c>
      <c r="T84" s="183" t="str">
        <f t="shared" si="11"/>
        <v/>
      </c>
      <c r="U84" s="183" t="str">
        <f t="shared" si="11"/>
        <v/>
      </c>
      <c r="V84" s="183" t="str">
        <f>IF(V83&gt;0,V81/V83*100,"")</f>
        <v/>
      </c>
      <c r="W84" s="183" t="str">
        <f t="shared" si="11"/>
        <v/>
      </c>
      <c r="X84" s="184">
        <f>SUMIF(J83:W83,"&gt;0",J81:W81)/SUM(J83:W83)%</f>
        <v>100.98626200537842</v>
      </c>
      <c r="Y84" s="109" t="s">
        <v>38</v>
      </c>
      <c r="Z84" s="118">
        <f>SUM(J81:V81)/X81*100</f>
        <v>49.936403140062268</v>
      </c>
      <c r="AA84" s="94" t="s">
        <v>252</v>
      </c>
      <c r="AB84" s="94"/>
      <c r="AC84" s="119"/>
      <c r="AD84" s="19"/>
      <c r="AE84" s="19"/>
      <c r="AF84" s="19"/>
      <c r="AG84" s="19"/>
      <c r="AH84" s="19"/>
      <c r="AI84" s="19"/>
      <c r="AJ84" s="19"/>
      <c r="AK84" s="19"/>
      <c r="AL84" s="19"/>
      <c r="AM84" s="19"/>
      <c r="AN84" s="19"/>
      <c r="AO84" s="19"/>
      <c r="AP84" s="19"/>
      <c r="AQ84" s="19"/>
    </row>
    <row r="85" spans="1:44" ht="15" customHeight="1" thickBo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4" ht="17.25" customHeight="1">
      <c r="A86" s="194" t="s">
        <v>122</v>
      </c>
      <c r="B86" s="438" t="str">
        <f t="shared" ref="B86:W86" si="12">B7</f>
        <v xml:space="preserve">  LPG og petroleum</v>
      </c>
      <c r="C86" s="438" t="str">
        <f t="shared" si="12"/>
        <v xml:space="preserve">  Kul</v>
      </c>
      <c r="D86" s="438" t="str">
        <f t="shared" si="12"/>
        <v xml:space="preserve">  Fuelolie</v>
      </c>
      <c r="E86" s="438" t="str">
        <f t="shared" si="12"/>
        <v xml:space="preserve">  Brændselsolie</v>
      </c>
      <c r="F86" s="438" t="str">
        <f t="shared" si="12"/>
        <v xml:space="preserve">  Dieselolie</v>
      </c>
      <c r="G86" s="438" t="str">
        <f t="shared" si="12"/>
        <v xml:space="preserve">  JP1</v>
      </c>
      <c r="H86" s="438" t="str">
        <f t="shared" si="12"/>
        <v xml:space="preserve">  Benzin</v>
      </c>
      <c r="I86" s="438" t="str">
        <f t="shared" si="12"/>
        <v xml:space="preserve">  Naturgas</v>
      </c>
      <c r="J86" s="438" t="str">
        <f t="shared" si="12"/>
        <v xml:space="preserve">  Vindenergi</v>
      </c>
      <c r="K86" s="438" t="str">
        <f t="shared" si="12"/>
        <v xml:space="preserve">  Vandenergi</v>
      </c>
      <c r="L86" s="438" t="str">
        <f t="shared" si="12"/>
        <v xml:space="preserve">  Solenergi</v>
      </c>
      <c r="M86" s="438" t="str">
        <f t="shared" si="12"/>
        <v xml:space="preserve">  Geotermi</v>
      </c>
      <c r="N86" s="438" t="str">
        <f t="shared" si="12"/>
        <v xml:space="preserve">  Varmekilder til varmepumper</v>
      </c>
      <c r="O86" s="438" t="str">
        <f t="shared" si="12"/>
        <v xml:space="preserve">  Husdyrsgødning</v>
      </c>
      <c r="P86" s="438" t="str">
        <f t="shared" si="12"/>
        <v xml:space="preserve">  Biobrændstof og energiafgrøder</v>
      </c>
      <c r="Q86" s="438" t="str">
        <f t="shared" si="12"/>
        <v xml:space="preserve">  Halm</v>
      </c>
      <c r="R86" s="438" t="str">
        <f t="shared" si="12"/>
        <v xml:space="preserve">  Brænde og træflis</v>
      </c>
      <c r="S86" s="438" t="str">
        <f t="shared" si="12"/>
        <v xml:space="preserve">  Træpiller og træaffald</v>
      </c>
      <c r="T86" s="438" t="str">
        <f t="shared" si="12"/>
        <v xml:space="preserve">  Organisk affald, industri</v>
      </c>
      <c r="U86" s="438" t="str">
        <f t="shared" si="12"/>
        <v xml:space="preserve">  Organisk affald, husholdninger</v>
      </c>
      <c r="V86" s="438" t="str">
        <f t="shared" si="12"/>
        <v xml:space="preserve">  Deponi, slam, renseanlæg</v>
      </c>
      <c r="W86" s="444" t="str">
        <f t="shared" si="12"/>
        <v xml:space="preserve">  Affald, ikke bionedbrydeligt</v>
      </c>
      <c r="X86" s="4"/>
      <c r="Y86" s="4"/>
      <c r="Z86" s="4"/>
      <c r="AA86" s="4"/>
      <c r="AB86" s="4"/>
      <c r="AC86" s="4"/>
      <c r="AD86" s="4"/>
      <c r="AE86" s="4"/>
      <c r="AF86" s="4"/>
      <c r="AG86" s="4"/>
      <c r="AH86" s="4"/>
      <c r="AI86" s="4"/>
      <c r="AJ86" s="4"/>
      <c r="AK86" s="4"/>
      <c r="AL86" s="4"/>
      <c r="AM86" s="4"/>
      <c r="AN86" s="4"/>
      <c r="AO86" s="4"/>
      <c r="AP86" s="4"/>
      <c r="AQ86" s="4"/>
    </row>
    <row r="87" spans="1:44" ht="24.6">
      <c r="A87" s="275">
        <v>44</v>
      </c>
      <c r="B87" s="439"/>
      <c r="C87" s="439"/>
      <c r="D87" s="439"/>
      <c r="E87" s="439"/>
      <c r="F87" s="439"/>
      <c r="G87" s="439"/>
      <c r="H87" s="439"/>
      <c r="I87" s="439"/>
      <c r="J87" s="439"/>
      <c r="K87" s="439"/>
      <c r="L87" s="439"/>
      <c r="M87" s="439"/>
      <c r="N87" s="439"/>
      <c r="O87" s="439"/>
      <c r="P87" s="439"/>
      <c r="Q87" s="439"/>
      <c r="R87" s="439"/>
      <c r="S87" s="439"/>
      <c r="T87" s="439"/>
      <c r="U87" s="439"/>
      <c r="V87" s="439"/>
      <c r="W87" s="445"/>
      <c r="X87" s="4"/>
      <c r="Y87" s="4"/>
      <c r="Z87" s="4"/>
      <c r="AA87" s="4"/>
      <c r="AB87" s="4"/>
      <c r="AC87" s="4"/>
      <c r="AD87" s="4"/>
      <c r="AE87" s="4"/>
      <c r="AF87" s="4"/>
      <c r="AG87" s="4"/>
      <c r="AH87" s="4"/>
      <c r="AI87" s="4"/>
      <c r="AJ87" s="4"/>
      <c r="AK87" s="4"/>
      <c r="AL87" s="4"/>
      <c r="AM87" s="4"/>
      <c r="AN87" s="4"/>
      <c r="AO87" s="4"/>
      <c r="AP87" s="4"/>
      <c r="AQ87" s="4"/>
    </row>
    <row r="88" spans="1:44" ht="123" customHeight="1" thickBot="1">
      <c r="A88" s="195" t="s">
        <v>123</v>
      </c>
      <c r="B88" s="440"/>
      <c r="C88" s="440"/>
      <c r="D88" s="440"/>
      <c r="E88" s="440"/>
      <c r="F88" s="440"/>
      <c r="G88" s="440"/>
      <c r="H88" s="440"/>
      <c r="I88" s="440"/>
      <c r="J88" s="440"/>
      <c r="K88" s="440"/>
      <c r="L88" s="440"/>
      <c r="M88" s="440"/>
      <c r="N88" s="440"/>
      <c r="O88" s="440"/>
      <c r="P88" s="440"/>
      <c r="Q88" s="440"/>
      <c r="R88" s="440"/>
      <c r="S88" s="440"/>
      <c r="T88" s="440"/>
      <c r="U88" s="440"/>
      <c r="V88" s="440"/>
      <c r="W88" s="446"/>
      <c r="X88" s="4"/>
      <c r="Y88" s="4"/>
      <c r="Z88" s="4"/>
      <c r="AA88" s="4"/>
      <c r="AB88" s="4"/>
      <c r="AC88" s="4"/>
      <c r="AD88" s="4"/>
      <c r="AE88" s="4"/>
      <c r="AF88" s="4"/>
      <c r="AG88" s="4"/>
      <c r="AH88" s="4"/>
      <c r="AI88" s="4"/>
      <c r="AJ88" s="4"/>
      <c r="AK88" s="4"/>
      <c r="AL88" s="4"/>
      <c r="AM88" s="4"/>
      <c r="AN88" s="4"/>
      <c r="AO88" s="4"/>
      <c r="AP88" s="4"/>
      <c r="AQ88" s="4"/>
    </row>
    <row r="89" spans="1:44" s="25" customFormat="1" ht="15" customHeight="1" thickBot="1">
      <c r="A89" s="276">
        <v>124.12</v>
      </c>
      <c r="B89" s="196">
        <v>63.1</v>
      </c>
      <c r="C89" s="196">
        <v>94.95</v>
      </c>
      <c r="D89" s="196">
        <v>78.84</v>
      </c>
      <c r="E89" s="196">
        <v>74</v>
      </c>
      <c r="F89" s="196">
        <v>74</v>
      </c>
      <c r="G89" s="196">
        <v>72</v>
      </c>
      <c r="H89" s="196">
        <v>73</v>
      </c>
      <c r="I89" s="196">
        <v>57</v>
      </c>
      <c r="J89" s="197"/>
      <c r="K89" s="197"/>
      <c r="L89" s="197"/>
      <c r="M89" s="197"/>
      <c r="N89" s="198"/>
      <c r="O89" s="197"/>
      <c r="P89" s="197"/>
      <c r="Q89" s="197"/>
      <c r="R89" s="197"/>
      <c r="S89" s="197"/>
      <c r="T89" s="197"/>
      <c r="U89" s="197"/>
      <c r="V89" s="198"/>
      <c r="W89" s="199">
        <v>82.22</v>
      </c>
      <c r="X89" s="200" t="s">
        <v>222</v>
      </c>
      <c r="Y89" s="23"/>
      <c r="Z89" s="24"/>
      <c r="AA89" s="24"/>
      <c r="AB89" s="24"/>
      <c r="AC89" s="24"/>
      <c r="AD89" s="24"/>
      <c r="AE89" s="24"/>
      <c r="AF89" s="24"/>
      <c r="AG89" s="24"/>
      <c r="AH89" s="24"/>
      <c r="AI89" s="24"/>
      <c r="AJ89" s="24"/>
      <c r="AK89" s="24"/>
      <c r="AL89" s="24"/>
      <c r="AM89" s="24"/>
      <c r="AN89" s="24"/>
      <c r="AO89" s="24"/>
      <c r="AP89" s="24"/>
      <c r="AQ89" s="24"/>
    </row>
    <row r="90" spans="1:44">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row>
    <row r="91" spans="1:44">
      <c r="Y91" s="15"/>
    </row>
    <row r="92" spans="1:44">
      <c r="Y92" s="4"/>
    </row>
    <row r="93" spans="1:44" ht="12.75" customHeight="1">
      <c r="A93" s="22"/>
      <c r="F93" s="351"/>
      <c r="G93" s="351"/>
      <c r="H93" s="351"/>
      <c r="I93" s="351"/>
      <c r="J93" s="351"/>
      <c r="K93" s="351"/>
      <c r="L93" s="351"/>
      <c r="M93" s="351"/>
      <c r="N93" s="351"/>
      <c r="O93" s="351"/>
      <c r="Y93" s="15"/>
    </row>
    <row r="94" spans="1:44">
      <c r="F94" s="351"/>
      <c r="G94" s="351"/>
      <c r="H94" s="451"/>
      <c r="I94" s="451"/>
      <c r="J94" s="351"/>
      <c r="K94" s="351"/>
      <c r="L94" s="451"/>
      <c r="M94" s="451"/>
      <c r="N94" s="351"/>
      <c r="O94" s="351"/>
    </row>
    <row r="95" spans="1:44">
      <c r="F95" s="351"/>
      <c r="G95" s="351"/>
      <c r="H95" s="351"/>
      <c r="I95" s="351"/>
      <c r="J95" s="351"/>
      <c r="K95" s="351"/>
      <c r="L95" s="351"/>
      <c r="M95" s="352"/>
      <c r="N95" s="351"/>
      <c r="O95" s="351"/>
      <c r="Y95" s="15"/>
      <c r="AC95" s="19"/>
      <c r="AD95" s="6">
        <f>AC95*0.11</f>
        <v>0</v>
      </c>
    </row>
    <row r="96" spans="1:44">
      <c r="F96" s="351"/>
      <c r="G96" s="351"/>
      <c r="H96" s="351"/>
      <c r="I96" s="351"/>
      <c r="J96" s="351"/>
      <c r="K96" s="351"/>
      <c r="L96" s="351"/>
      <c r="M96" s="351"/>
      <c r="N96" s="351"/>
      <c r="O96" s="351"/>
      <c r="Y96" s="15"/>
    </row>
    <row r="97" spans="6:15">
      <c r="F97" s="351"/>
      <c r="G97" s="351"/>
      <c r="H97" s="350"/>
      <c r="I97" s="353"/>
      <c r="J97" s="351"/>
      <c r="K97" s="351"/>
      <c r="L97" s="353"/>
      <c r="M97" s="350"/>
      <c r="N97" s="351"/>
      <c r="O97" s="351"/>
    </row>
    <row r="98" spans="6:15">
      <c r="F98" s="351"/>
      <c r="G98" s="351"/>
      <c r="H98" s="351"/>
      <c r="I98" s="351"/>
      <c r="J98" s="351"/>
      <c r="K98" s="351"/>
      <c r="L98" s="351"/>
      <c r="M98" s="351"/>
      <c r="N98" s="351"/>
      <c r="O98" s="351"/>
    </row>
    <row r="99" spans="6:15">
      <c r="F99" s="351"/>
      <c r="G99" s="351"/>
      <c r="H99" s="351"/>
      <c r="I99" s="351"/>
      <c r="J99" s="351"/>
      <c r="K99" s="351"/>
      <c r="L99" s="351"/>
      <c r="M99" s="351"/>
      <c r="N99" s="351"/>
      <c r="O99" s="351"/>
    </row>
  </sheetData>
  <mergeCells count="32">
    <mergeCell ref="N86:N88"/>
    <mergeCell ref="O86:O88"/>
    <mergeCell ref="V86:V88"/>
    <mergeCell ref="W86:W88"/>
    <mergeCell ref="P86:P88"/>
    <mergeCell ref="Q86:Q88"/>
    <mergeCell ref="R86:R88"/>
    <mergeCell ref="S86:S88"/>
    <mergeCell ref="T86:T88"/>
    <mergeCell ref="U86:U88"/>
    <mergeCell ref="H94:I94"/>
    <mergeCell ref="L94:M94"/>
    <mergeCell ref="H86:H88"/>
    <mergeCell ref="I86:I88"/>
    <mergeCell ref="G86:G88"/>
    <mergeCell ref="J86:J88"/>
    <mergeCell ref="K86:K88"/>
    <mergeCell ref="L86:L88"/>
    <mergeCell ref="M86:M88"/>
    <mergeCell ref="B86:B88"/>
    <mergeCell ref="C86:C88"/>
    <mergeCell ref="D86:D88"/>
    <mergeCell ref="E86:E88"/>
    <mergeCell ref="F86:F88"/>
    <mergeCell ref="AF6:AG6"/>
    <mergeCell ref="AI6:AQ6"/>
    <mergeCell ref="D1:E1"/>
    <mergeCell ref="Y1:Y2"/>
    <mergeCell ref="A6:X6"/>
    <mergeCell ref="Z6:AC6"/>
    <mergeCell ref="AD6:AE6"/>
    <mergeCell ref="X3:Z4"/>
  </mergeCells>
  <printOptions horizontalCentered="1" verticalCentered="1" gridLines="1"/>
  <pageMargins left="0.19685039370078741" right="0.19685039370078741" top="0.98425196850393704" bottom="0.55118110236220474" header="0" footer="0"/>
  <pageSetup paperSize="8" scale="48" orientation="landscape" r:id="rId1"/>
  <headerFooter alignWithMargins="0">
    <oddFooter>&amp;R&amp;F &amp;T &amp;D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33"/>
  </sheetPr>
  <dimension ref="A1:AZ96"/>
  <sheetViews>
    <sheetView topLeftCell="A7" zoomScale="70" zoomScaleNormal="70" workbookViewId="0">
      <selection activeCell="AC39" sqref="AC39"/>
    </sheetView>
  </sheetViews>
  <sheetFormatPr defaultColWidth="9.109375" defaultRowHeight="13.2"/>
  <cols>
    <col min="1" max="23" width="7.109375" style="6" customWidth="1"/>
    <col min="24" max="24" width="8.6640625" style="6" customWidth="1"/>
    <col min="25" max="25" width="52.109375" style="6" bestFit="1" customWidth="1"/>
    <col min="26" max="29" width="5.6640625" style="6" customWidth="1"/>
    <col min="30" max="34" width="8.6640625" style="6" customWidth="1"/>
    <col min="35" max="43" width="7.109375" style="6" customWidth="1"/>
    <col min="44" max="16384" width="9.109375" style="6"/>
  </cols>
  <sheetData>
    <row r="1" spans="1:52" ht="15" customHeight="1">
      <c r="A1" s="120" t="s">
        <v>48</v>
      </c>
      <c r="B1" s="3"/>
      <c r="C1" s="3"/>
      <c r="D1" s="452">
        <v>90519</v>
      </c>
      <c r="E1" s="453"/>
      <c r="F1" s="4"/>
      <c r="G1" s="4"/>
      <c r="H1" s="4"/>
      <c r="I1" s="4"/>
      <c r="K1" s="4"/>
      <c r="L1" s="4"/>
      <c r="M1" s="4"/>
      <c r="N1" s="4"/>
      <c r="O1" s="4"/>
      <c r="P1" s="4"/>
      <c r="Q1" s="4"/>
      <c r="R1" s="4"/>
      <c r="S1" s="4"/>
      <c r="T1" s="4"/>
      <c r="U1" s="4"/>
      <c r="V1" s="5"/>
      <c r="W1" s="5"/>
      <c r="X1" s="5"/>
      <c r="Y1" s="429" t="s">
        <v>73</v>
      </c>
      <c r="Z1" s="5"/>
      <c r="AA1" s="5"/>
      <c r="AB1" s="5"/>
      <c r="AC1" s="5"/>
      <c r="AD1" s="4"/>
      <c r="AE1" s="4"/>
      <c r="AF1" s="4"/>
      <c r="AG1" s="4"/>
      <c r="AH1" s="4"/>
      <c r="AI1" s="4"/>
      <c r="AJ1" s="4"/>
      <c r="AK1" s="4"/>
      <c r="AL1" s="4"/>
      <c r="AM1" s="4"/>
      <c r="AN1" s="4"/>
      <c r="AO1" s="4"/>
      <c r="AP1" s="4"/>
      <c r="AQ1" s="4"/>
    </row>
    <row r="2" spans="1:52" ht="15" customHeight="1">
      <c r="A2" s="121" t="s">
        <v>50</v>
      </c>
      <c r="B2" s="4"/>
      <c r="C2" s="4"/>
      <c r="D2" s="245">
        <v>92.61</v>
      </c>
      <c r="E2" s="123" t="s">
        <v>49</v>
      </c>
      <c r="F2" s="4"/>
      <c r="G2" s="4"/>
      <c r="H2" s="4"/>
      <c r="I2" s="4"/>
      <c r="J2" s="4"/>
      <c r="K2" s="4"/>
      <c r="L2" s="4"/>
      <c r="M2" s="4"/>
      <c r="N2" s="4"/>
      <c r="O2" s="4"/>
      <c r="P2" s="4"/>
      <c r="Q2" s="4"/>
      <c r="R2" s="4"/>
      <c r="S2" s="4"/>
      <c r="T2" s="4"/>
      <c r="U2" s="4"/>
      <c r="V2" s="5"/>
      <c r="W2" s="5"/>
      <c r="X2" s="5"/>
      <c r="Y2" s="429"/>
      <c r="Z2" s="5"/>
      <c r="AA2" s="5"/>
      <c r="AB2" s="5"/>
      <c r="AC2" s="5"/>
      <c r="AD2" s="4"/>
      <c r="AE2" s="4"/>
      <c r="AF2" s="4"/>
      <c r="AG2" s="4"/>
      <c r="AH2" s="4"/>
      <c r="AI2" s="4"/>
      <c r="AJ2" s="4"/>
      <c r="AK2" s="4"/>
      <c r="AL2" s="4"/>
      <c r="AM2" s="4"/>
      <c r="AN2" s="4"/>
      <c r="AO2" s="4"/>
      <c r="AP2" s="4"/>
      <c r="AQ2" s="4"/>
    </row>
    <row r="3" spans="1:52" ht="15" customHeight="1" thickBot="1">
      <c r="A3" s="125" t="s">
        <v>46</v>
      </c>
      <c r="B3" s="7"/>
      <c r="C3" s="7"/>
      <c r="D3" s="7" t="s">
        <v>47</v>
      </c>
      <c r="E3" s="8"/>
      <c r="F3" s="4"/>
      <c r="G3" s="4"/>
      <c r="H3" s="4"/>
      <c r="I3" s="4"/>
      <c r="J3" s="4"/>
      <c r="K3" s="4"/>
      <c r="L3" s="4"/>
      <c r="M3" s="4"/>
      <c r="N3" s="4"/>
      <c r="O3" s="4"/>
      <c r="P3" s="4"/>
      <c r="Q3" s="4"/>
      <c r="R3" s="4"/>
      <c r="S3" s="4"/>
      <c r="T3" s="4"/>
      <c r="U3" s="4"/>
      <c r="V3" s="5"/>
      <c r="W3" s="5"/>
      <c r="X3" s="430" t="s">
        <v>253</v>
      </c>
      <c r="Y3" s="430"/>
      <c r="Z3" s="430"/>
      <c r="AA3" s="5"/>
      <c r="AB3" s="5"/>
      <c r="AC3" s="5"/>
      <c r="AD3" s="4"/>
      <c r="AE3" s="4"/>
      <c r="AF3" s="4"/>
      <c r="AG3" s="4"/>
      <c r="AH3" s="4"/>
      <c r="AI3" s="4"/>
      <c r="AJ3" s="4"/>
      <c r="AK3" s="4"/>
      <c r="AL3" s="4"/>
      <c r="AM3" s="4"/>
      <c r="AN3" s="4"/>
      <c r="AO3" s="4"/>
      <c r="AP3" s="4"/>
      <c r="AQ3" s="4"/>
    </row>
    <row r="4" spans="1:52" ht="15" customHeight="1">
      <c r="A4" s="4"/>
      <c r="B4" s="4"/>
      <c r="C4" s="4"/>
      <c r="D4" s="4"/>
      <c r="E4" s="4"/>
      <c r="F4" s="4"/>
      <c r="G4" s="4"/>
      <c r="H4" s="4"/>
      <c r="I4" s="4"/>
      <c r="J4" s="4"/>
      <c r="K4" s="4"/>
      <c r="L4" s="4"/>
      <c r="M4" s="4"/>
      <c r="N4" s="4"/>
      <c r="O4" s="4"/>
      <c r="P4" s="4"/>
      <c r="Q4" s="4"/>
      <c r="R4" s="4"/>
      <c r="S4" s="4"/>
      <c r="T4" s="4"/>
      <c r="U4" s="4"/>
      <c r="V4" s="5"/>
      <c r="W4" s="5"/>
      <c r="X4" s="430"/>
      <c r="Y4" s="430"/>
      <c r="Z4" s="430"/>
      <c r="AA4" s="5"/>
      <c r="AB4" s="5"/>
      <c r="AC4" s="5"/>
      <c r="AD4" s="4"/>
      <c r="AE4" s="4"/>
      <c r="AF4" s="4"/>
      <c r="AG4" s="4"/>
      <c r="AH4" s="4"/>
      <c r="AI4" s="4"/>
      <c r="AJ4" s="4"/>
      <c r="AK4" s="4"/>
      <c r="AL4" s="4"/>
      <c r="AM4" s="4"/>
      <c r="AN4" s="4"/>
      <c r="AO4" s="4"/>
      <c r="AP4" s="4"/>
      <c r="AQ4" s="4"/>
    </row>
    <row r="5" spans="1:52" ht="15" customHeight="1">
      <c r="A5" s="4"/>
      <c r="B5" s="4"/>
      <c r="C5" s="4"/>
      <c r="D5" s="4"/>
      <c r="E5" s="4"/>
      <c r="F5" s="4"/>
      <c r="G5" s="4"/>
      <c r="H5" s="4"/>
      <c r="I5" s="4"/>
      <c r="J5" s="4"/>
      <c r="K5" s="4"/>
      <c r="L5" s="4"/>
      <c r="M5" s="4"/>
      <c r="N5" s="4"/>
      <c r="O5" s="4"/>
      <c r="P5" s="4"/>
      <c r="Q5" s="4"/>
      <c r="R5" s="4"/>
      <c r="S5" s="4"/>
      <c r="T5" s="4"/>
      <c r="U5" s="4"/>
      <c r="V5" s="4"/>
      <c r="W5" s="4"/>
      <c r="X5" s="4"/>
      <c r="Z5" s="4"/>
      <c r="AA5" s="4"/>
      <c r="AB5" s="4"/>
      <c r="AC5" s="4"/>
      <c r="AD5" s="4"/>
      <c r="AE5" s="4"/>
      <c r="AF5" s="4"/>
      <c r="AG5" s="4"/>
      <c r="AH5" s="4"/>
      <c r="AI5" s="4"/>
      <c r="AJ5" s="4"/>
      <c r="AK5" s="4"/>
      <c r="AL5" s="4"/>
      <c r="AM5" s="4"/>
      <c r="AN5" s="4"/>
      <c r="AO5" s="4"/>
      <c r="AP5" s="4"/>
      <c r="AQ5" s="4"/>
    </row>
    <row r="6" spans="1:52" ht="15" customHeight="1">
      <c r="A6" s="447" t="s">
        <v>0</v>
      </c>
      <c r="B6" s="447"/>
      <c r="C6" s="447"/>
      <c r="D6" s="447"/>
      <c r="E6" s="447"/>
      <c r="F6" s="447"/>
      <c r="G6" s="447"/>
      <c r="H6" s="447"/>
      <c r="I6" s="447"/>
      <c r="J6" s="447"/>
      <c r="K6" s="447"/>
      <c r="L6" s="447"/>
      <c r="M6" s="447"/>
      <c r="N6" s="447"/>
      <c r="O6" s="447"/>
      <c r="P6" s="447"/>
      <c r="Q6" s="447"/>
      <c r="R6" s="447"/>
      <c r="S6" s="447"/>
      <c r="T6" s="447"/>
      <c r="U6" s="447"/>
      <c r="V6" s="447"/>
      <c r="W6" s="447"/>
      <c r="X6" s="447"/>
      <c r="Y6" s="272" t="s">
        <v>51</v>
      </c>
      <c r="Z6" s="447" t="s">
        <v>104</v>
      </c>
      <c r="AA6" s="447"/>
      <c r="AB6" s="447"/>
      <c r="AC6" s="447"/>
      <c r="AD6" s="447" t="s">
        <v>53</v>
      </c>
      <c r="AE6" s="447"/>
      <c r="AF6" s="447" t="s">
        <v>52</v>
      </c>
      <c r="AG6" s="447"/>
      <c r="AH6" s="126"/>
      <c r="AI6" s="447" t="s">
        <v>1</v>
      </c>
      <c r="AJ6" s="447"/>
      <c r="AK6" s="447"/>
      <c r="AL6" s="447"/>
      <c r="AM6" s="447"/>
      <c r="AN6" s="447"/>
      <c r="AO6" s="447"/>
      <c r="AP6" s="447"/>
      <c r="AQ6" s="447"/>
    </row>
    <row r="7" spans="1:52" s="9" customFormat="1" ht="159.9" customHeight="1" thickBot="1">
      <c r="A7" s="127" t="s">
        <v>74</v>
      </c>
      <c r="B7" s="128" t="s">
        <v>75</v>
      </c>
      <c r="C7" s="128" t="s">
        <v>76</v>
      </c>
      <c r="D7" s="128" t="s">
        <v>77</v>
      </c>
      <c r="E7" s="128" t="s">
        <v>78</v>
      </c>
      <c r="F7" s="128" t="s">
        <v>79</v>
      </c>
      <c r="G7" s="128" t="s">
        <v>80</v>
      </c>
      <c r="H7" s="128" t="s">
        <v>81</v>
      </c>
      <c r="I7" s="128" t="s">
        <v>82</v>
      </c>
      <c r="J7" s="128" t="s">
        <v>83</v>
      </c>
      <c r="K7" s="128" t="s">
        <v>84</v>
      </c>
      <c r="L7" s="128" t="s">
        <v>85</v>
      </c>
      <c r="M7" s="128" t="s">
        <v>86</v>
      </c>
      <c r="N7" s="128" t="s">
        <v>87</v>
      </c>
      <c r="O7" s="128" t="s">
        <v>88</v>
      </c>
      <c r="P7" s="128" t="s">
        <v>89</v>
      </c>
      <c r="Q7" s="128" t="s">
        <v>90</v>
      </c>
      <c r="R7" s="128" t="s">
        <v>91</v>
      </c>
      <c r="S7" s="128" t="s">
        <v>92</v>
      </c>
      <c r="T7" s="128" t="s">
        <v>93</v>
      </c>
      <c r="U7" s="128" t="s">
        <v>94</v>
      </c>
      <c r="V7" s="128" t="s">
        <v>95</v>
      </c>
      <c r="W7" s="128" t="s">
        <v>96</v>
      </c>
      <c r="X7" s="129" t="s">
        <v>97</v>
      </c>
      <c r="Y7" s="130"/>
      <c r="Z7" s="131" t="s">
        <v>98</v>
      </c>
      <c r="AA7" s="128" t="s">
        <v>99</v>
      </c>
      <c r="AB7" s="128" t="s">
        <v>100</v>
      </c>
      <c r="AC7" s="129" t="s">
        <v>101</v>
      </c>
      <c r="AD7" s="127" t="s">
        <v>102</v>
      </c>
      <c r="AE7" s="129" t="s">
        <v>103</v>
      </c>
      <c r="AF7" s="127" t="s">
        <v>102</v>
      </c>
      <c r="AG7" s="129" t="s">
        <v>103</v>
      </c>
      <c r="AH7" s="132" t="s">
        <v>105</v>
      </c>
      <c r="AI7" s="133" t="s">
        <v>106</v>
      </c>
      <c r="AJ7" s="128" t="s">
        <v>107</v>
      </c>
      <c r="AK7" s="128" t="s">
        <v>108</v>
      </c>
      <c r="AL7" s="128" t="s">
        <v>109</v>
      </c>
      <c r="AM7" s="128" t="s">
        <v>110</v>
      </c>
      <c r="AN7" s="128" t="s">
        <v>111</v>
      </c>
      <c r="AO7" s="134" t="s">
        <v>112</v>
      </c>
      <c r="AP7" s="134" t="s">
        <v>113</v>
      </c>
      <c r="AQ7" s="129" t="s">
        <v>114</v>
      </c>
    </row>
    <row r="8" spans="1:52" ht="15" customHeight="1">
      <c r="A8" s="135"/>
      <c r="B8" s="136"/>
      <c r="C8" s="136"/>
      <c r="D8" s="136"/>
      <c r="E8" s="136"/>
      <c r="F8" s="136"/>
      <c r="G8" s="136"/>
      <c r="H8" s="136"/>
      <c r="I8" s="136"/>
      <c r="J8" s="136"/>
      <c r="K8" s="136"/>
      <c r="L8" s="136"/>
      <c r="M8" s="136"/>
      <c r="N8" s="136"/>
      <c r="O8" s="136"/>
      <c r="P8" s="136"/>
      <c r="Q8" s="136"/>
      <c r="R8" s="136"/>
      <c r="S8" s="136"/>
      <c r="T8" s="136"/>
      <c r="U8" s="136"/>
      <c r="V8" s="136"/>
      <c r="W8" s="136"/>
      <c r="X8" s="137">
        <f t="shared" ref="X8:X80" si="0">SUM(A8:W8)</f>
        <v>0</v>
      </c>
      <c r="Y8" s="138" t="s">
        <v>3</v>
      </c>
      <c r="Z8" s="135"/>
      <c r="AA8" s="136">
        <v>44</v>
      </c>
      <c r="AB8" s="136"/>
      <c r="AC8" s="137"/>
      <c r="AD8" s="135">
        <f t="shared" ref="AD8:AD14" si="1">-AE8/$D$2%</f>
        <v>-68.714354428640135</v>
      </c>
      <c r="AE8" s="139">
        <f>AH8/AA8%</f>
        <v>63.636363636363633</v>
      </c>
      <c r="AF8" s="140"/>
      <c r="AG8" s="139"/>
      <c r="AH8" s="141">
        <f t="shared" ref="AH8:AH14" si="2">SUM(AI8:AQ8)</f>
        <v>28</v>
      </c>
      <c r="AI8" s="144">
        <v>28</v>
      </c>
      <c r="AJ8" s="251">
        <v>0</v>
      </c>
      <c r="AK8" s="251">
        <v>0</v>
      </c>
      <c r="AL8" s="251">
        <v>0</v>
      </c>
      <c r="AM8" s="251">
        <v>0</v>
      </c>
      <c r="AN8" s="251">
        <v>0</v>
      </c>
      <c r="AO8" s="251">
        <v>0</v>
      </c>
      <c r="AP8" s="251">
        <v>0</v>
      </c>
      <c r="AQ8" s="252">
        <v>0</v>
      </c>
      <c r="AR8" s="19"/>
      <c r="AS8" s="19"/>
      <c r="AT8" s="19"/>
      <c r="AU8" s="19"/>
      <c r="AV8" s="19"/>
      <c r="AW8" s="19"/>
      <c r="AX8" s="19"/>
      <c r="AY8" s="19"/>
      <c r="AZ8" s="19"/>
    </row>
    <row r="9" spans="1:52" ht="15" customHeight="1">
      <c r="A9" s="135"/>
      <c r="B9" s="136"/>
      <c r="C9" s="136"/>
      <c r="D9" s="136"/>
      <c r="E9" s="136"/>
      <c r="F9" s="136"/>
      <c r="G9" s="136"/>
      <c r="H9" s="136"/>
      <c r="I9" s="136"/>
      <c r="J9" s="136"/>
      <c r="K9" s="136"/>
      <c r="L9" s="136"/>
      <c r="M9" s="136"/>
      <c r="N9" s="136"/>
      <c r="O9" s="136"/>
      <c r="P9" s="136"/>
      <c r="Q9" s="136"/>
      <c r="R9" s="136"/>
      <c r="S9" s="136"/>
      <c r="T9" s="136"/>
      <c r="U9" s="136"/>
      <c r="V9" s="136"/>
      <c r="W9" s="136"/>
      <c r="X9" s="137">
        <f t="shared" si="0"/>
        <v>0</v>
      </c>
      <c r="Y9" s="138" t="s">
        <v>4</v>
      </c>
      <c r="Z9" s="135"/>
      <c r="AA9" s="136"/>
      <c r="AB9" s="136">
        <v>90</v>
      </c>
      <c r="AC9" s="137"/>
      <c r="AD9" s="135">
        <f t="shared" si="1"/>
        <v>-12.801593300459514</v>
      </c>
      <c r="AE9" s="139">
        <f>AH9/AB9%</f>
        <v>11.855555555555556</v>
      </c>
      <c r="AF9" s="140"/>
      <c r="AG9" s="139"/>
      <c r="AH9" s="141">
        <f t="shared" si="2"/>
        <v>10.67</v>
      </c>
      <c r="AI9" s="253">
        <v>10.67</v>
      </c>
      <c r="AJ9" s="251">
        <v>0</v>
      </c>
      <c r="AK9" s="251">
        <v>0</v>
      </c>
      <c r="AL9" s="251">
        <v>0</v>
      </c>
      <c r="AM9" s="251">
        <v>0</v>
      </c>
      <c r="AN9" s="251">
        <v>0</v>
      </c>
      <c r="AO9" s="251">
        <v>0</v>
      </c>
      <c r="AP9" s="251">
        <v>0</v>
      </c>
      <c r="AQ9" s="252">
        <v>0</v>
      </c>
      <c r="AR9" s="19"/>
      <c r="AS9" s="19"/>
      <c r="AT9" s="19"/>
      <c r="AU9" s="19"/>
      <c r="AV9" s="19"/>
      <c r="AW9" s="19"/>
      <c r="AX9" s="19"/>
      <c r="AY9" s="19"/>
      <c r="AZ9" s="19"/>
    </row>
    <row r="10" spans="1:52" ht="15" customHeight="1">
      <c r="A10" s="135"/>
      <c r="B10" s="136"/>
      <c r="C10" s="136"/>
      <c r="D10" s="136"/>
      <c r="E10" s="136"/>
      <c r="F10" s="136"/>
      <c r="G10" s="136"/>
      <c r="H10" s="136"/>
      <c r="I10" s="136"/>
      <c r="J10" s="136"/>
      <c r="K10" s="136"/>
      <c r="L10" s="136"/>
      <c r="M10" s="136"/>
      <c r="N10" s="136"/>
      <c r="O10" s="136"/>
      <c r="P10" s="136"/>
      <c r="Q10" s="136"/>
      <c r="R10" s="136"/>
      <c r="S10" s="136"/>
      <c r="T10" s="136"/>
      <c r="U10" s="136"/>
      <c r="V10" s="136"/>
      <c r="W10" s="136"/>
      <c r="X10" s="137">
        <f t="shared" si="0"/>
        <v>0</v>
      </c>
      <c r="Y10" s="138" t="s">
        <v>5</v>
      </c>
      <c r="Z10" s="135"/>
      <c r="AA10" s="136"/>
      <c r="AB10" s="136">
        <v>100</v>
      </c>
      <c r="AC10" s="137"/>
      <c r="AD10" s="135">
        <f t="shared" si="1"/>
        <v>-54.335384947629841</v>
      </c>
      <c r="AE10" s="139">
        <f>AH10/AB10%</f>
        <v>50.32</v>
      </c>
      <c r="AF10" s="140"/>
      <c r="AG10" s="139"/>
      <c r="AH10" s="141">
        <f t="shared" si="2"/>
        <v>50.32</v>
      </c>
      <c r="AI10" s="253">
        <v>50.32</v>
      </c>
      <c r="AJ10" s="251">
        <v>0</v>
      </c>
      <c r="AK10" s="251">
        <v>0</v>
      </c>
      <c r="AL10" s="251">
        <v>0</v>
      </c>
      <c r="AM10" s="251">
        <v>0</v>
      </c>
      <c r="AN10" s="251">
        <v>0</v>
      </c>
      <c r="AO10" s="251">
        <v>0</v>
      </c>
      <c r="AP10" s="251">
        <v>0</v>
      </c>
      <c r="AQ10" s="252">
        <v>0</v>
      </c>
      <c r="AR10" s="19"/>
      <c r="AS10" s="19"/>
      <c r="AT10" s="19"/>
      <c r="AU10" s="19"/>
      <c r="AV10" s="19"/>
      <c r="AW10" s="19"/>
      <c r="AX10" s="19"/>
      <c r="AY10" s="19"/>
      <c r="AZ10" s="19"/>
    </row>
    <row r="11" spans="1:52" ht="15" customHeight="1">
      <c r="A11" s="135"/>
      <c r="B11" s="136"/>
      <c r="C11" s="136"/>
      <c r="D11" s="136"/>
      <c r="E11" s="136"/>
      <c r="F11" s="136"/>
      <c r="G11" s="136"/>
      <c r="H11" s="136"/>
      <c r="I11" s="136"/>
      <c r="J11" s="136"/>
      <c r="K11" s="136"/>
      <c r="L11" s="136"/>
      <c r="M11" s="136"/>
      <c r="N11" s="136"/>
      <c r="O11" s="136"/>
      <c r="P11" s="136"/>
      <c r="Q11" s="136"/>
      <c r="R11" s="136"/>
      <c r="S11" s="136"/>
      <c r="T11" s="136"/>
      <c r="U11" s="136"/>
      <c r="V11" s="136"/>
      <c r="W11" s="136"/>
      <c r="X11" s="137">
        <f t="shared" si="0"/>
        <v>0</v>
      </c>
      <c r="Y11" s="138" t="s">
        <v>18</v>
      </c>
      <c r="Z11" s="135"/>
      <c r="AA11" s="136">
        <v>50</v>
      </c>
      <c r="AB11" s="136"/>
      <c r="AC11" s="137"/>
      <c r="AD11" s="135">
        <f t="shared" si="1"/>
        <v>-206.56516574883923</v>
      </c>
      <c r="AE11" s="139">
        <f>AH11/AA11%</f>
        <v>191.3</v>
      </c>
      <c r="AF11" s="140"/>
      <c r="AG11" s="139"/>
      <c r="AH11" s="141">
        <f t="shared" si="2"/>
        <v>95.65</v>
      </c>
      <c r="AI11" s="253">
        <v>31.82</v>
      </c>
      <c r="AJ11" s="251">
        <v>21.12</v>
      </c>
      <c r="AK11" s="251">
        <v>9.1</v>
      </c>
      <c r="AL11" s="251">
        <v>16.399999999999999</v>
      </c>
      <c r="AM11" s="251">
        <v>0.3</v>
      </c>
      <c r="AN11" s="251">
        <v>10.4</v>
      </c>
      <c r="AO11" s="251">
        <v>0.11</v>
      </c>
      <c r="AP11" s="251">
        <v>6.4</v>
      </c>
      <c r="AQ11" s="252">
        <v>0</v>
      </c>
      <c r="AR11" s="19"/>
      <c r="AS11" s="19"/>
      <c r="AT11" s="19"/>
      <c r="AU11" s="19"/>
      <c r="AV11" s="19"/>
      <c r="AW11" s="19"/>
      <c r="AX11" s="19"/>
      <c r="AY11" s="19"/>
      <c r="AZ11" s="19"/>
    </row>
    <row r="12" spans="1:52" ht="15" customHeight="1">
      <c r="A12" s="135"/>
      <c r="B12" s="136"/>
      <c r="C12" s="136"/>
      <c r="D12" s="136"/>
      <c r="E12" s="136"/>
      <c r="F12" s="136"/>
      <c r="G12" s="136"/>
      <c r="H12" s="136"/>
      <c r="I12" s="136"/>
      <c r="J12" s="136"/>
      <c r="K12" s="136"/>
      <c r="L12" s="136"/>
      <c r="M12" s="136"/>
      <c r="N12" s="136"/>
      <c r="O12" s="136"/>
      <c r="P12" s="136"/>
      <c r="Q12" s="136"/>
      <c r="R12" s="136"/>
      <c r="S12" s="136"/>
      <c r="T12" s="136"/>
      <c r="U12" s="136"/>
      <c r="V12" s="136"/>
      <c r="W12" s="136"/>
      <c r="X12" s="137">
        <f t="shared" si="0"/>
        <v>0</v>
      </c>
      <c r="Y12" s="138" t="s">
        <v>19</v>
      </c>
      <c r="Z12" s="135"/>
      <c r="AA12" s="136">
        <v>150</v>
      </c>
      <c r="AB12" s="136"/>
      <c r="AC12" s="137"/>
      <c r="AD12" s="135">
        <f t="shared" si="1"/>
        <v>-176.42443220674514</v>
      </c>
      <c r="AE12" s="139">
        <f>AH12/AA12%</f>
        <v>163.38666666666668</v>
      </c>
      <c r="AF12" s="140"/>
      <c r="AG12" s="139"/>
      <c r="AH12" s="141">
        <f t="shared" si="2"/>
        <v>245.08</v>
      </c>
      <c r="AI12" s="253">
        <v>112.7</v>
      </c>
      <c r="AJ12" s="251">
        <v>0</v>
      </c>
      <c r="AK12" s="251">
        <v>30.58</v>
      </c>
      <c r="AL12" s="251">
        <v>55.1</v>
      </c>
      <c r="AM12" s="251">
        <v>1.18</v>
      </c>
      <c r="AN12" s="251">
        <v>41.61</v>
      </c>
      <c r="AO12" s="251">
        <v>7.0000000000000007E-2</v>
      </c>
      <c r="AP12" s="251">
        <v>3.84</v>
      </c>
      <c r="AQ12" s="252">
        <v>0</v>
      </c>
      <c r="AR12" s="19"/>
      <c r="AS12" s="19"/>
      <c r="AT12" s="19"/>
      <c r="AU12" s="19"/>
      <c r="AV12" s="19"/>
      <c r="AW12" s="19"/>
      <c r="AX12" s="19"/>
      <c r="AY12" s="19"/>
      <c r="AZ12" s="19"/>
    </row>
    <row r="13" spans="1:52" ht="15" customHeight="1">
      <c r="A13" s="135"/>
      <c r="B13" s="136"/>
      <c r="C13" s="136"/>
      <c r="D13" s="136"/>
      <c r="E13" s="136"/>
      <c r="F13" s="136"/>
      <c r="G13" s="136"/>
      <c r="H13" s="136"/>
      <c r="I13" s="136"/>
      <c r="J13" s="136"/>
      <c r="K13" s="136"/>
      <c r="L13" s="136"/>
      <c r="M13" s="136"/>
      <c r="N13" s="136"/>
      <c r="O13" s="136"/>
      <c r="P13" s="136"/>
      <c r="Q13" s="136"/>
      <c r="R13" s="136"/>
      <c r="S13" s="136"/>
      <c r="T13" s="136"/>
      <c r="U13" s="136"/>
      <c r="V13" s="136"/>
      <c r="W13" s="136"/>
      <c r="X13" s="137">
        <f t="shared" si="0"/>
        <v>0</v>
      </c>
      <c r="Y13" s="138" t="s">
        <v>71</v>
      </c>
      <c r="Z13" s="135"/>
      <c r="AA13" s="136">
        <v>85</v>
      </c>
      <c r="AB13" s="136"/>
      <c r="AC13" s="137"/>
      <c r="AD13" s="135">
        <f t="shared" si="1"/>
        <v>-859.62003849158702</v>
      </c>
      <c r="AE13" s="139">
        <f>AH13/AA13%</f>
        <v>796.09411764705874</v>
      </c>
      <c r="AF13" s="140"/>
      <c r="AG13" s="139"/>
      <c r="AH13" s="141">
        <f t="shared" si="2"/>
        <v>676.68</v>
      </c>
      <c r="AI13" s="253">
        <v>176.93</v>
      </c>
      <c r="AJ13" s="251">
        <v>97.09</v>
      </c>
      <c r="AK13" s="251">
        <v>29.08</v>
      </c>
      <c r="AL13" s="251">
        <v>52.41</v>
      </c>
      <c r="AM13" s="251">
        <v>7.19</v>
      </c>
      <c r="AN13" s="251">
        <v>253.45</v>
      </c>
      <c r="AO13" s="251">
        <v>1.04</v>
      </c>
      <c r="AP13" s="251">
        <v>59.48</v>
      </c>
      <c r="AQ13" s="252">
        <v>0.01</v>
      </c>
      <c r="AR13" s="19"/>
      <c r="AS13" s="19"/>
      <c r="AT13" s="19"/>
      <c r="AU13" s="19"/>
      <c r="AV13" s="19"/>
      <c r="AW13" s="19"/>
      <c r="AX13" s="19"/>
      <c r="AY13" s="19"/>
      <c r="AZ13" s="19"/>
    </row>
    <row r="14" spans="1:52" ht="15" customHeight="1">
      <c r="A14" s="135"/>
      <c r="B14" s="144"/>
      <c r="C14" s="136"/>
      <c r="D14" s="136"/>
      <c r="E14" s="136"/>
      <c r="F14" s="136"/>
      <c r="G14" s="136"/>
      <c r="H14" s="136"/>
      <c r="I14" s="136"/>
      <c r="J14" s="136"/>
      <c r="K14" s="136"/>
      <c r="L14" s="136"/>
      <c r="M14" s="136"/>
      <c r="N14" s="136">
        <f>AH14-AE14</f>
        <v>0</v>
      </c>
      <c r="O14" s="136"/>
      <c r="P14" s="136"/>
      <c r="Q14" s="136"/>
      <c r="R14" s="136"/>
      <c r="S14" s="136"/>
      <c r="T14" s="136"/>
      <c r="U14" s="136"/>
      <c r="V14" s="136"/>
      <c r="W14" s="136"/>
      <c r="X14" s="137">
        <f t="shared" si="0"/>
        <v>0</v>
      </c>
      <c r="Y14" s="138" t="s">
        <v>54</v>
      </c>
      <c r="Z14" s="135"/>
      <c r="AA14" s="136"/>
      <c r="AB14" s="136">
        <v>250</v>
      </c>
      <c r="AC14" s="137"/>
      <c r="AD14" s="135">
        <f t="shared" si="1"/>
        <v>0</v>
      </c>
      <c r="AE14" s="252">
        <v>0</v>
      </c>
      <c r="AF14" s="140"/>
      <c r="AG14" s="139"/>
      <c r="AH14" s="141">
        <f t="shared" si="2"/>
        <v>0</v>
      </c>
      <c r="AI14" s="145">
        <f>AE14*AB14/100</f>
        <v>0</v>
      </c>
      <c r="AJ14" s="144"/>
      <c r="AK14" s="144"/>
      <c r="AL14" s="144"/>
      <c r="AM14" s="144"/>
      <c r="AN14" s="144"/>
      <c r="AO14" s="144"/>
      <c r="AP14" s="144"/>
      <c r="AQ14" s="139"/>
      <c r="AV14" s="11"/>
    </row>
    <row r="15" spans="1:52" ht="15" customHeight="1">
      <c r="A15" s="135">
        <f>Z15%*AD15</f>
        <v>927.241061863901</v>
      </c>
      <c r="B15" s="144"/>
      <c r="C15" s="136"/>
      <c r="D15" s="136"/>
      <c r="E15" s="136"/>
      <c r="F15" s="136"/>
      <c r="G15" s="136"/>
      <c r="H15" s="136"/>
      <c r="I15" s="136"/>
      <c r="J15" s="136"/>
      <c r="K15" s="136"/>
      <c r="L15" s="136"/>
      <c r="M15" s="136"/>
      <c r="N15" s="136"/>
      <c r="O15" s="136"/>
      <c r="P15" s="136"/>
      <c r="Q15" s="136"/>
      <c r="R15" s="136"/>
      <c r="S15" s="136"/>
      <c r="T15" s="136"/>
      <c r="U15" s="136"/>
      <c r="V15" s="136"/>
      <c r="W15" s="136"/>
      <c r="X15" s="137">
        <f t="shared" si="0"/>
        <v>927.241061863901</v>
      </c>
      <c r="Y15" s="138" t="s">
        <v>34</v>
      </c>
      <c r="Z15" s="135">
        <v>100</v>
      </c>
      <c r="AA15" s="136"/>
      <c r="AB15" s="136"/>
      <c r="AC15" s="137"/>
      <c r="AD15" s="135">
        <f>-SUM(AD16:AD80,AD8:AD14)</f>
        <v>927.241061863901</v>
      </c>
      <c r="AE15" s="137"/>
      <c r="AF15" s="135"/>
      <c r="AG15" s="137"/>
      <c r="AH15" s="108">
        <f t="shared" ref="AH15:AH52" si="3">SUM(AI15:AQ15)</f>
        <v>0</v>
      </c>
      <c r="AI15" s="135"/>
      <c r="AJ15" s="136"/>
      <c r="AK15" s="136"/>
      <c r="AL15" s="136"/>
      <c r="AM15" s="136"/>
      <c r="AN15" s="136"/>
      <c r="AO15" s="136"/>
      <c r="AP15" s="136"/>
      <c r="AQ15" s="137"/>
      <c r="AV15" s="11"/>
    </row>
    <row r="16" spans="1:52" ht="15" customHeight="1">
      <c r="A16" s="150"/>
      <c r="B16" s="254">
        <v>164.77</v>
      </c>
      <c r="C16" s="147"/>
      <c r="D16" s="147"/>
      <c r="E16" s="148"/>
      <c r="F16" s="148"/>
      <c r="G16" s="148"/>
      <c r="H16" s="148"/>
      <c r="I16" s="148"/>
      <c r="J16" s="147"/>
      <c r="K16" s="147"/>
      <c r="L16" s="147"/>
      <c r="M16" s="147"/>
      <c r="N16" s="147"/>
      <c r="O16" s="147"/>
      <c r="P16" s="147"/>
      <c r="Q16" s="147"/>
      <c r="R16" s="147"/>
      <c r="S16" s="147"/>
      <c r="T16" s="147"/>
      <c r="U16" s="147"/>
      <c r="V16" s="147"/>
      <c r="W16" s="147"/>
      <c r="X16" s="151">
        <f t="shared" si="0"/>
        <v>164.77</v>
      </c>
      <c r="Y16" s="149" t="s">
        <v>72</v>
      </c>
      <c r="Z16" s="150"/>
      <c r="AA16" s="147"/>
      <c r="AB16" s="148">
        <v>38</v>
      </c>
      <c r="AC16" s="151"/>
      <c r="AD16" s="150"/>
      <c r="AE16" s="151"/>
      <c r="AF16" s="150"/>
      <c r="AG16" s="151"/>
      <c r="AH16" s="108">
        <f t="shared" si="3"/>
        <v>62.481113539999996</v>
      </c>
      <c r="AI16" s="255">
        <f>X16*AB16/100*0.158</f>
        <v>9.8927908000000002</v>
      </c>
      <c r="AJ16" s="256">
        <f>X16*AB16/100*0.0067</f>
        <v>0.41950442000000004</v>
      </c>
      <c r="AK16" s="256">
        <f>X16*AB16/100*0.01</f>
        <v>0.62612600000000007</v>
      </c>
      <c r="AL16" s="256">
        <f>X16*AB16/100*0.0022</f>
        <v>0.13774772000000002</v>
      </c>
      <c r="AM16" s="256">
        <f>X16*AB16/100*0.118</f>
        <v>7.3882867999999995</v>
      </c>
      <c r="AN16" s="256">
        <f>X16*AB16/100*0.479</f>
        <v>29.9914354</v>
      </c>
      <c r="AO16" s="256"/>
      <c r="AP16" s="256">
        <f>X16*AB16/100*0.115</f>
        <v>7.2004490000000008</v>
      </c>
      <c r="AQ16" s="257">
        <f>X16*AB16/100*0.109</f>
        <v>6.8247733999999998</v>
      </c>
      <c r="AV16" s="11"/>
    </row>
    <row r="17" spans="1:48" ht="15" customHeight="1">
      <c r="A17" s="135"/>
      <c r="B17" s="144"/>
      <c r="C17" s="136"/>
      <c r="D17" s="136"/>
      <c r="E17" s="251">
        <v>1661.83</v>
      </c>
      <c r="F17" s="144"/>
      <c r="G17" s="144"/>
      <c r="H17" s="144"/>
      <c r="I17" s="144"/>
      <c r="J17" s="136"/>
      <c r="K17" s="136"/>
      <c r="L17" s="136"/>
      <c r="M17" s="136"/>
      <c r="N17" s="144"/>
      <c r="O17" s="144"/>
      <c r="P17" s="144"/>
      <c r="Q17" s="144"/>
      <c r="R17" s="144"/>
      <c r="S17" s="144"/>
      <c r="T17" s="144"/>
      <c r="U17" s="144"/>
      <c r="V17" s="144"/>
      <c r="W17" s="144"/>
      <c r="X17" s="137">
        <f t="shared" si="0"/>
        <v>1661.83</v>
      </c>
      <c r="Y17" s="138" t="s">
        <v>55</v>
      </c>
      <c r="Z17" s="135"/>
      <c r="AA17" s="136"/>
      <c r="AB17" s="144">
        <v>80</v>
      </c>
      <c r="AC17" s="137"/>
      <c r="AD17" s="135"/>
      <c r="AE17" s="137"/>
      <c r="AF17" s="135"/>
      <c r="AG17" s="137"/>
      <c r="AH17" s="108">
        <f t="shared" si="3"/>
        <v>1329.4639999999999</v>
      </c>
      <c r="AI17" s="153">
        <f t="shared" ref="AI17:AI22" si="4">X17*AB17/100</f>
        <v>1329.4639999999999</v>
      </c>
      <c r="AJ17" s="136"/>
      <c r="AK17" s="136"/>
      <c r="AL17" s="136"/>
      <c r="AM17" s="136"/>
      <c r="AN17" s="136"/>
      <c r="AO17" s="136"/>
      <c r="AP17" s="136"/>
      <c r="AQ17" s="137"/>
      <c r="AS17" s="11"/>
    </row>
    <row r="18" spans="1:48" ht="15" customHeight="1">
      <c r="A18" s="135"/>
      <c r="B18" s="144"/>
      <c r="C18" s="136"/>
      <c r="D18" s="136"/>
      <c r="E18" s="144"/>
      <c r="F18" s="144"/>
      <c r="G18" s="144"/>
      <c r="H18" s="144"/>
      <c r="I18" s="251">
        <v>62.54</v>
      </c>
      <c r="J18" s="136"/>
      <c r="K18" s="136"/>
      <c r="L18" s="136"/>
      <c r="M18" s="136"/>
      <c r="N18" s="144"/>
      <c r="O18" s="144"/>
      <c r="P18" s="144"/>
      <c r="Q18" s="144"/>
      <c r="R18" s="144"/>
      <c r="S18" s="144"/>
      <c r="T18" s="144"/>
      <c r="U18" s="144"/>
      <c r="V18" s="144"/>
      <c r="W18" s="144"/>
      <c r="X18" s="137">
        <f t="shared" si="0"/>
        <v>62.54</v>
      </c>
      <c r="Y18" s="138" t="s">
        <v>56</v>
      </c>
      <c r="Z18" s="135"/>
      <c r="AA18" s="136"/>
      <c r="AB18" s="144">
        <v>85</v>
      </c>
      <c r="AC18" s="137"/>
      <c r="AD18" s="135"/>
      <c r="AE18" s="137"/>
      <c r="AF18" s="135"/>
      <c r="AG18" s="137"/>
      <c r="AH18" s="108">
        <f t="shared" si="3"/>
        <v>53.158999999999999</v>
      </c>
      <c r="AI18" s="153">
        <f t="shared" si="4"/>
        <v>53.158999999999999</v>
      </c>
      <c r="AJ18" s="136"/>
      <c r="AK18" s="136"/>
      <c r="AL18" s="136"/>
      <c r="AM18" s="136"/>
      <c r="AN18" s="136"/>
      <c r="AO18" s="136"/>
      <c r="AP18" s="136"/>
      <c r="AQ18" s="137"/>
      <c r="AS18" s="11"/>
    </row>
    <row r="19" spans="1:48" ht="15" customHeight="1">
      <c r="A19" s="135"/>
      <c r="B19" s="136"/>
      <c r="C19" s="136"/>
      <c r="D19" s="136"/>
      <c r="E19" s="136"/>
      <c r="F19" s="136"/>
      <c r="G19" s="136"/>
      <c r="H19" s="136"/>
      <c r="I19" s="251"/>
      <c r="J19" s="136"/>
      <c r="K19" s="136"/>
      <c r="L19" s="136"/>
      <c r="M19" s="136"/>
      <c r="N19" s="144"/>
      <c r="O19" s="144"/>
      <c r="P19" s="144"/>
      <c r="Q19" s="251"/>
      <c r="R19" s="251"/>
      <c r="S19" s="251">
        <v>3.76</v>
      </c>
      <c r="T19" s="144"/>
      <c r="U19" s="144"/>
      <c r="V19" s="144"/>
      <c r="W19" s="144"/>
      <c r="X19" s="137">
        <f t="shared" si="0"/>
        <v>3.76</v>
      </c>
      <c r="Y19" s="138" t="s">
        <v>57</v>
      </c>
      <c r="Z19" s="135"/>
      <c r="AA19" s="136"/>
      <c r="AB19" s="144">
        <v>75</v>
      </c>
      <c r="AC19" s="137"/>
      <c r="AD19" s="135"/>
      <c r="AE19" s="137"/>
      <c r="AF19" s="135"/>
      <c r="AG19" s="137"/>
      <c r="AH19" s="108">
        <f t="shared" si="3"/>
        <v>2.82</v>
      </c>
      <c r="AI19" s="153">
        <f t="shared" si="4"/>
        <v>2.82</v>
      </c>
      <c r="AJ19" s="136"/>
      <c r="AK19" s="136"/>
      <c r="AL19" s="136"/>
      <c r="AM19" s="136"/>
      <c r="AN19" s="136"/>
      <c r="AO19" s="136"/>
      <c r="AP19" s="136"/>
      <c r="AQ19" s="137"/>
      <c r="AV19" s="11"/>
    </row>
    <row r="20" spans="1:48" ht="15" customHeight="1">
      <c r="A20" s="135"/>
      <c r="B20" s="136"/>
      <c r="C20" s="136"/>
      <c r="D20" s="136"/>
      <c r="E20" s="136"/>
      <c r="F20" s="136"/>
      <c r="G20" s="136"/>
      <c r="H20" s="136"/>
      <c r="I20" s="251"/>
      <c r="J20" s="136"/>
      <c r="K20" s="136"/>
      <c r="L20" s="136"/>
      <c r="M20" s="136"/>
      <c r="N20" s="144"/>
      <c r="O20" s="144"/>
      <c r="P20" s="144"/>
      <c r="Q20" s="251"/>
      <c r="R20" s="251">
        <v>139.28</v>
      </c>
      <c r="S20" s="251"/>
      <c r="T20" s="144"/>
      <c r="U20" s="144"/>
      <c r="V20" s="144"/>
      <c r="W20" s="144"/>
      <c r="X20" s="137">
        <f t="shared" si="0"/>
        <v>139.28</v>
      </c>
      <c r="Y20" s="138" t="s">
        <v>58</v>
      </c>
      <c r="Z20" s="135"/>
      <c r="AA20" s="136"/>
      <c r="AB20" s="144">
        <v>65</v>
      </c>
      <c r="AC20" s="137"/>
      <c r="AD20" s="135"/>
      <c r="AE20" s="137"/>
      <c r="AF20" s="135"/>
      <c r="AG20" s="137"/>
      <c r="AH20" s="108">
        <f t="shared" si="3"/>
        <v>90.532000000000011</v>
      </c>
      <c r="AI20" s="153">
        <f t="shared" si="4"/>
        <v>90.532000000000011</v>
      </c>
      <c r="AJ20" s="136"/>
      <c r="AK20" s="136"/>
      <c r="AL20" s="136"/>
      <c r="AM20" s="136"/>
      <c r="AN20" s="136"/>
      <c r="AO20" s="136"/>
      <c r="AP20" s="136"/>
      <c r="AQ20" s="137"/>
      <c r="AS20" s="11"/>
    </row>
    <row r="21" spans="1:48" ht="15" customHeight="1">
      <c r="A21" s="135"/>
      <c r="B21" s="136"/>
      <c r="C21" s="136"/>
      <c r="D21" s="136"/>
      <c r="E21" s="136"/>
      <c r="F21" s="136"/>
      <c r="G21" s="136"/>
      <c r="H21" s="136"/>
      <c r="I21" s="251"/>
      <c r="J21" s="136"/>
      <c r="K21" s="136"/>
      <c r="L21" s="136"/>
      <c r="M21" s="136"/>
      <c r="N21" s="144"/>
      <c r="O21" s="144"/>
      <c r="P21" s="144"/>
      <c r="Q21" s="251">
        <v>239.9</v>
      </c>
      <c r="R21" s="251"/>
      <c r="S21" s="251"/>
      <c r="T21" s="144"/>
      <c r="U21" s="144"/>
      <c r="V21" s="144"/>
      <c r="W21" s="144"/>
      <c r="X21" s="137">
        <f t="shared" si="0"/>
        <v>239.9</v>
      </c>
      <c r="Y21" s="138" t="s">
        <v>59</v>
      </c>
      <c r="Z21" s="135"/>
      <c r="AA21" s="136"/>
      <c r="AB21" s="144">
        <v>65</v>
      </c>
      <c r="AC21" s="137"/>
      <c r="AD21" s="135"/>
      <c r="AE21" s="137"/>
      <c r="AF21" s="135"/>
      <c r="AG21" s="137"/>
      <c r="AH21" s="108">
        <f t="shared" si="3"/>
        <v>155.935</v>
      </c>
      <c r="AI21" s="153">
        <f t="shared" si="4"/>
        <v>155.935</v>
      </c>
      <c r="AJ21" s="136"/>
      <c r="AK21" s="136"/>
      <c r="AL21" s="136"/>
      <c r="AM21" s="136"/>
      <c r="AN21" s="136"/>
      <c r="AO21" s="136"/>
      <c r="AP21" s="136"/>
      <c r="AQ21" s="137"/>
      <c r="AS21" s="11"/>
    </row>
    <row r="22" spans="1:48" ht="15" customHeight="1">
      <c r="A22" s="135"/>
      <c r="B22" s="136"/>
      <c r="C22" s="136"/>
      <c r="D22" s="136"/>
      <c r="E22" s="136"/>
      <c r="F22" s="136"/>
      <c r="G22" s="136"/>
      <c r="H22" s="136"/>
      <c r="I22" s="251"/>
      <c r="J22" s="136"/>
      <c r="K22" s="136"/>
      <c r="L22" s="251">
        <v>1.4</v>
      </c>
      <c r="M22" s="136"/>
      <c r="N22" s="144"/>
      <c r="O22" s="144"/>
      <c r="P22" s="144"/>
      <c r="Q22" s="144"/>
      <c r="R22" s="144"/>
      <c r="S22" s="144"/>
      <c r="T22" s="144"/>
      <c r="U22" s="144"/>
      <c r="V22" s="144"/>
      <c r="W22" s="144"/>
      <c r="X22" s="137">
        <f t="shared" si="0"/>
        <v>1.4</v>
      </c>
      <c r="Y22" s="138" t="s">
        <v>6</v>
      </c>
      <c r="Z22" s="135"/>
      <c r="AA22" s="136"/>
      <c r="AB22" s="136">
        <v>100</v>
      </c>
      <c r="AC22" s="137"/>
      <c r="AD22" s="135"/>
      <c r="AE22" s="137"/>
      <c r="AF22" s="135"/>
      <c r="AG22" s="137"/>
      <c r="AH22" s="108">
        <f t="shared" si="3"/>
        <v>1.4</v>
      </c>
      <c r="AI22" s="153">
        <f t="shared" si="4"/>
        <v>1.4</v>
      </c>
      <c r="AJ22" s="136"/>
      <c r="AK22" s="136"/>
      <c r="AL22" s="136"/>
      <c r="AM22" s="136"/>
      <c r="AN22" s="136"/>
      <c r="AO22" s="136"/>
      <c r="AP22" s="136"/>
      <c r="AQ22" s="137"/>
      <c r="AV22" s="11"/>
    </row>
    <row r="23" spans="1:48" ht="15" customHeight="1">
      <c r="A23" s="135"/>
      <c r="B23" s="136"/>
      <c r="C23" s="136"/>
      <c r="D23" s="136"/>
      <c r="E23" s="251">
        <v>131.69</v>
      </c>
      <c r="F23" s="136"/>
      <c r="G23" s="136"/>
      <c r="H23" s="136"/>
      <c r="I23" s="251"/>
      <c r="J23" s="136"/>
      <c r="K23" s="136"/>
      <c r="L23" s="136"/>
      <c r="M23" s="136"/>
      <c r="N23" s="144"/>
      <c r="O23" s="144"/>
      <c r="P23" s="144"/>
      <c r="Q23" s="144"/>
      <c r="R23" s="144"/>
      <c r="S23" s="144"/>
      <c r="T23" s="144"/>
      <c r="U23" s="144"/>
      <c r="V23" s="144"/>
      <c r="W23" s="144"/>
      <c r="X23" s="137">
        <f t="shared" si="0"/>
        <v>131.69</v>
      </c>
      <c r="Y23" s="138" t="s">
        <v>60</v>
      </c>
      <c r="Z23" s="135"/>
      <c r="AA23" s="136">
        <v>90</v>
      </c>
      <c r="AB23" s="136"/>
      <c r="AC23" s="137"/>
      <c r="AD23" s="135"/>
      <c r="AE23" s="137"/>
      <c r="AF23" s="135"/>
      <c r="AG23" s="137"/>
      <c r="AH23" s="108">
        <f t="shared" si="3"/>
        <v>118.521</v>
      </c>
      <c r="AI23" s="153"/>
      <c r="AJ23" s="136"/>
      <c r="AK23" s="136"/>
      <c r="AL23" s="136"/>
      <c r="AM23" s="136"/>
      <c r="AN23" s="136">
        <f>X23*AA23/100</f>
        <v>118.521</v>
      </c>
      <c r="AO23" s="136"/>
      <c r="AP23" s="136"/>
      <c r="AQ23" s="137"/>
      <c r="AV23" s="11"/>
    </row>
    <row r="24" spans="1:48" ht="15" customHeight="1">
      <c r="A24" s="135"/>
      <c r="B24" s="136"/>
      <c r="C24" s="136"/>
      <c r="D24" s="136"/>
      <c r="E24" s="136"/>
      <c r="F24" s="136"/>
      <c r="G24" s="136"/>
      <c r="H24" s="136"/>
      <c r="I24" s="251">
        <v>146.88</v>
      </c>
      <c r="J24" s="136"/>
      <c r="K24" s="136"/>
      <c r="L24" s="136"/>
      <c r="M24" s="136"/>
      <c r="N24" s="144"/>
      <c r="O24" s="144"/>
      <c r="P24" s="144"/>
      <c r="Q24" s="144"/>
      <c r="R24" s="144"/>
      <c r="S24" s="144"/>
      <c r="T24" s="144"/>
      <c r="U24" s="144"/>
      <c r="V24" s="144"/>
      <c r="W24" s="144"/>
      <c r="X24" s="137">
        <f t="shared" si="0"/>
        <v>146.88</v>
      </c>
      <c r="Y24" s="138" t="s">
        <v>61</v>
      </c>
      <c r="Z24" s="135"/>
      <c r="AA24" s="136">
        <v>90</v>
      </c>
      <c r="AB24" s="136"/>
      <c r="AC24" s="137"/>
      <c r="AD24" s="135"/>
      <c r="AE24" s="137"/>
      <c r="AF24" s="135"/>
      <c r="AG24" s="137"/>
      <c r="AH24" s="108">
        <f t="shared" si="3"/>
        <v>132.19199999999998</v>
      </c>
      <c r="AI24" s="153"/>
      <c r="AJ24" s="136"/>
      <c r="AK24" s="136"/>
      <c r="AL24" s="136"/>
      <c r="AM24" s="136"/>
      <c r="AN24" s="136">
        <f>X24*AA24/100</f>
        <v>132.19199999999998</v>
      </c>
      <c r="AO24" s="136"/>
      <c r="AP24" s="136"/>
      <c r="AQ24" s="137"/>
      <c r="AS24" s="11"/>
    </row>
    <row r="25" spans="1:48" ht="15" customHeight="1">
      <c r="A25" s="135"/>
      <c r="B25" s="136"/>
      <c r="C25" s="251">
        <v>93.39</v>
      </c>
      <c r="D25" s="251">
        <v>88.81</v>
      </c>
      <c r="E25" s="251"/>
      <c r="F25" s="251"/>
      <c r="G25" s="251"/>
      <c r="H25" s="251"/>
      <c r="I25" s="251"/>
      <c r="J25" s="251"/>
      <c r="K25" s="251"/>
      <c r="L25" s="251"/>
      <c r="M25" s="251"/>
      <c r="N25" s="251"/>
      <c r="O25" s="251"/>
      <c r="P25" s="251"/>
      <c r="Q25" s="251"/>
      <c r="R25" s="251"/>
      <c r="S25" s="251">
        <v>11.51</v>
      </c>
      <c r="T25" s="251"/>
      <c r="U25" s="251"/>
      <c r="V25" s="251"/>
      <c r="W25" s="251">
        <v>116.2</v>
      </c>
      <c r="X25" s="137">
        <f t="shared" si="0"/>
        <v>309.90999999999997</v>
      </c>
      <c r="Y25" s="138" t="s">
        <v>217</v>
      </c>
      <c r="Z25" s="135"/>
      <c r="AA25" s="136">
        <v>90</v>
      </c>
      <c r="AB25" s="136"/>
      <c r="AC25" s="137"/>
      <c r="AD25" s="135"/>
      <c r="AE25" s="137"/>
      <c r="AF25" s="135"/>
      <c r="AG25" s="137"/>
      <c r="AH25" s="108">
        <f t="shared" si="3"/>
        <v>278.91899999999998</v>
      </c>
      <c r="AI25" s="153"/>
      <c r="AJ25" s="136"/>
      <c r="AK25" s="136"/>
      <c r="AL25" s="136"/>
      <c r="AM25" s="136"/>
      <c r="AN25" s="136">
        <f>X25*AA25/100</f>
        <v>278.91899999999998</v>
      </c>
      <c r="AO25" s="136"/>
      <c r="AP25" s="136"/>
      <c r="AQ25" s="137"/>
      <c r="AR25" s="15"/>
      <c r="AS25" s="11"/>
    </row>
    <row r="26" spans="1:48" ht="15" customHeight="1">
      <c r="A26" s="135"/>
      <c r="B26" s="136"/>
      <c r="C26" s="136"/>
      <c r="D26" s="136"/>
      <c r="E26" s="136"/>
      <c r="F26" s="136"/>
      <c r="G26" s="136"/>
      <c r="H26" s="144"/>
      <c r="I26" s="144"/>
      <c r="J26" s="144"/>
      <c r="K26" s="144"/>
      <c r="L26" s="144"/>
      <c r="M26" s="144"/>
      <c r="N26" s="144"/>
      <c r="O26" s="144"/>
      <c r="P26" s="144"/>
      <c r="Q26" s="144"/>
      <c r="R26" s="144"/>
      <c r="S26" s="144"/>
      <c r="T26" s="144"/>
      <c r="U26" s="144"/>
      <c r="V26" s="144"/>
      <c r="W26" s="144"/>
      <c r="X26" s="137">
        <f t="shared" si="0"/>
        <v>0</v>
      </c>
      <c r="Y26" s="138" t="s">
        <v>45</v>
      </c>
      <c r="Z26" s="136">
        <v>100</v>
      </c>
      <c r="AA26" s="136"/>
      <c r="AB26" s="136"/>
      <c r="AC26" s="137"/>
      <c r="AD26" s="135">
        <f>X26*Z26/100</f>
        <v>0</v>
      </c>
      <c r="AE26" s="137"/>
      <c r="AF26" s="135"/>
      <c r="AG26" s="137"/>
      <c r="AH26" s="108">
        <f t="shared" si="3"/>
        <v>0</v>
      </c>
      <c r="AI26" s="153"/>
      <c r="AJ26" s="136"/>
      <c r="AK26" s="136"/>
      <c r="AL26" s="136"/>
      <c r="AM26" s="136"/>
      <c r="AN26" s="136"/>
      <c r="AO26" s="136"/>
      <c r="AP26" s="136"/>
      <c r="AQ26" s="137"/>
      <c r="AV26" s="11"/>
    </row>
    <row r="27" spans="1:48" ht="15" customHeight="1">
      <c r="A27" s="135"/>
      <c r="B27" s="136"/>
      <c r="C27" s="136"/>
      <c r="D27" s="136"/>
      <c r="E27" s="136"/>
      <c r="F27" s="136"/>
      <c r="G27" s="136"/>
      <c r="H27" s="144"/>
      <c r="I27" s="144"/>
      <c r="J27" s="246">
        <v>14.45</v>
      </c>
      <c r="K27" s="144"/>
      <c r="L27" s="144"/>
      <c r="M27" s="144"/>
      <c r="N27" s="144"/>
      <c r="O27" s="144"/>
      <c r="P27" s="144"/>
      <c r="Q27" s="144"/>
      <c r="R27" s="144"/>
      <c r="S27" s="144"/>
      <c r="T27" s="144"/>
      <c r="U27" s="144"/>
      <c r="V27" s="144"/>
      <c r="W27" s="144"/>
      <c r="X27" s="137">
        <f t="shared" si="0"/>
        <v>14.45</v>
      </c>
      <c r="Y27" s="138" t="s">
        <v>62</v>
      </c>
      <c r="Z27" s="136">
        <v>100</v>
      </c>
      <c r="AA27" s="136"/>
      <c r="AB27" s="136"/>
      <c r="AC27" s="137"/>
      <c r="AD27" s="135">
        <f>Z27*X27/100</f>
        <v>14.45</v>
      </c>
      <c r="AE27" s="137"/>
      <c r="AF27" s="135"/>
      <c r="AG27" s="137"/>
      <c r="AH27" s="108">
        <f t="shared" si="3"/>
        <v>0</v>
      </c>
      <c r="AI27" s="153"/>
      <c r="AJ27" s="136"/>
      <c r="AK27" s="136"/>
      <c r="AL27" s="136"/>
      <c r="AM27" s="136"/>
      <c r="AN27" s="136"/>
      <c r="AO27" s="136"/>
      <c r="AP27" s="136"/>
      <c r="AQ27" s="137"/>
      <c r="AV27" s="11"/>
    </row>
    <row r="28" spans="1:48" ht="15" customHeight="1">
      <c r="A28" s="135"/>
      <c r="B28" s="136"/>
      <c r="C28" s="136"/>
      <c r="D28" s="136"/>
      <c r="E28" s="136"/>
      <c r="F28" s="136"/>
      <c r="G28" s="136"/>
      <c r="H28" s="144"/>
      <c r="I28" s="144"/>
      <c r="J28" s="144"/>
      <c r="K28" s="144"/>
      <c r="L28" s="144"/>
      <c r="M28" s="144"/>
      <c r="N28" s="144"/>
      <c r="O28" s="144"/>
      <c r="P28" s="144"/>
      <c r="Q28" s="144"/>
      <c r="R28" s="144"/>
      <c r="S28" s="144"/>
      <c r="T28" s="144"/>
      <c r="U28" s="144"/>
      <c r="V28" s="144"/>
      <c r="W28" s="144"/>
      <c r="X28" s="137">
        <f t="shared" si="0"/>
        <v>0</v>
      </c>
      <c r="Y28" s="138" t="s">
        <v>124</v>
      </c>
      <c r="Z28" s="140">
        <v>100</v>
      </c>
      <c r="AA28" s="144"/>
      <c r="AB28" s="144"/>
      <c r="AC28" s="139"/>
      <c r="AD28" s="140">
        <f>Z28*X28/100</f>
        <v>0</v>
      </c>
      <c r="AE28" s="139"/>
      <c r="AF28" s="135"/>
      <c r="AG28" s="137"/>
      <c r="AH28" s="108">
        <f t="shared" si="3"/>
        <v>0</v>
      </c>
      <c r="AI28" s="153"/>
      <c r="AJ28" s="136"/>
      <c r="AK28" s="136"/>
      <c r="AL28" s="136"/>
      <c r="AM28" s="136"/>
      <c r="AN28" s="136"/>
      <c r="AO28" s="136"/>
      <c r="AP28" s="136"/>
      <c r="AQ28" s="137"/>
    </row>
    <row r="29" spans="1:48" ht="15" customHeight="1">
      <c r="A29" s="135"/>
      <c r="B29" s="136"/>
      <c r="C29" s="136"/>
      <c r="D29" s="136"/>
      <c r="E29" s="136"/>
      <c r="F29" s="136"/>
      <c r="G29" s="136"/>
      <c r="H29" s="144"/>
      <c r="I29" s="144"/>
      <c r="J29" s="144"/>
      <c r="K29" s="144"/>
      <c r="L29" s="144"/>
      <c r="M29" s="144"/>
      <c r="N29" s="144"/>
      <c r="O29" s="144"/>
      <c r="P29" s="144"/>
      <c r="Q29" s="144"/>
      <c r="R29" s="144"/>
      <c r="S29" s="144"/>
      <c r="T29" s="144"/>
      <c r="U29" s="144"/>
      <c r="V29" s="144"/>
      <c r="W29" s="144"/>
      <c r="X29" s="137">
        <f t="shared" si="0"/>
        <v>0</v>
      </c>
      <c r="Y29" s="138" t="s">
        <v>7</v>
      </c>
      <c r="Z29" s="144">
        <v>100</v>
      </c>
      <c r="AA29" s="144"/>
      <c r="AB29" s="144"/>
      <c r="AC29" s="139"/>
      <c r="AD29" s="140">
        <f>Z29*X29/100</f>
        <v>0</v>
      </c>
      <c r="AE29" s="139"/>
      <c r="AF29" s="135"/>
      <c r="AG29" s="137"/>
      <c r="AH29" s="108">
        <f t="shared" si="3"/>
        <v>0</v>
      </c>
      <c r="AI29" s="153"/>
      <c r="AJ29" s="136"/>
      <c r="AK29" s="136"/>
      <c r="AL29" s="136"/>
      <c r="AM29" s="136"/>
      <c r="AN29" s="136"/>
      <c r="AO29" s="136"/>
      <c r="AP29" s="136"/>
      <c r="AQ29" s="137"/>
    </row>
    <row r="30" spans="1:48" ht="15" customHeight="1">
      <c r="A30" s="135"/>
      <c r="B30" s="136"/>
      <c r="C30" s="136"/>
      <c r="D30" s="136"/>
      <c r="E30" s="136"/>
      <c r="F30" s="136"/>
      <c r="G30" s="136"/>
      <c r="H30" s="144"/>
      <c r="I30" s="144"/>
      <c r="J30" s="144"/>
      <c r="K30" s="144"/>
      <c r="L30" s="144"/>
      <c r="M30" s="144"/>
      <c r="N30" s="144"/>
      <c r="O30" s="144"/>
      <c r="P30" s="144"/>
      <c r="Q30" s="144"/>
      <c r="R30" s="144"/>
      <c r="S30" s="144"/>
      <c r="T30" s="144"/>
      <c r="U30" s="144"/>
      <c r="V30" s="144"/>
      <c r="W30" s="144"/>
      <c r="X30" s="137">
        <f t="shared" si="0"/>
        <v>0</v>
      </c>
      <c r="Y30" s="138" t="s">
        <v>8</v>
      </c>
      <c r="Z30" s="144">
        <v>100</v>
      </c>
      <c r="AA30" s="144"/>
      <c r="AB30" s="144"/>
      <c r="AC30" s="139"/>
      <c r="AD30" s="140">
        <f>Z30*X30/100</f>
        <v>0</v>
      </c>
      <c r="AE30" s="139"/>
      <c r="AF30" s="135"/>
      <c r="AG30" s="137"/>
      <c r="AH30" s="108">
        <f t="shared" si="3"/>
        <v>0</v>
      </c>
      <c r="AI30" s="153"/>
      <c r="AJ30" s="136"/>
      <c r="AK30" s="136"/>
      <c r="AL30" s="136"/>
      <c r="AM30" s="136"/>
      <c r="AN30" s="136"/>
      <c r="AO30" s="136"/>
      <c r="AP30" s="136"/>
      <c r="AQ30" s="137"/>
    </row>
    <row r="31" spans="1:48" s="1" customFormat="1" ht="15" customHeight="1">
      <c r="A31" s="267"/>
      <c r="B31" s="136"/>
      <c r="C31" s="136"/>
      <c r="D31" s="136"/>
      <c r="E31" s="136"/>
      <c r="F31" s="136"/>
      <c r="G31" s="136"/>
      <c r="H31" s="144"/>
      <c r="I31" s="144"/>
      <c r="J31" s="144"/>
      <c r="K31" s="144"/>
      <c r="L31" s="144"/>
      <c r="M31" s="144"/>
      <c r="N31" s="144"/>
      <c r="O31" s="144"/>
      <c r="P31" s="144"/>
      <c r="Q31" s="144"/>
      <c r="R31" s="144"/>
      <c r="S31" s="144"/>
      <c r="T31" s="144"/>
      <c r="U31" s="251"/>
      <c r="V31" s="251"/>
      <c r="W31" s="251"/>
      <c r="X31" s="137">
        <f t="shared" si="0"/>
        <v>0</v>
      </c>
      <c r="Y31" s="96" t="s">
        <v>216</v>
      </c>
      <c r="Z31" s="253"/>
      <c r="AA31" s="251"/>
      <c r="AB31" s="251"/>
      <c r="AC31" s="252"/>
      <c r="AD31" s="258"/>
      <c r="AE31" s="252"/>
      <c r="AF31" s="268"/>
      <c r="AG31" s="171"/>
      <c r="AH31" s="159"/>
      <c r="AI31" s="267"/>
      <c r="AJ31" s="269"/>
      <c r="AK31" s="269"/>
      <c r="AL31" s="269"/>
      <c r="AM31" s="269"/>
      <c r="AN31" s="269"/>
      <c r="AO31" s="269"/>
      <c r="AP31" s="269"/>
      <c r="AQ31" s="171"/>
    </row>
    <row r="32" spans="1:48" ht="15" customHeight="1">
      <c r="A32" s="136"/>
      <c r="B32" s="136"/>
      <c r="C32" s="270"/>
      <c r="D32" s="270"/>
      <c r="E32" s="270"/>
      <c r="F32" s="270"/>
      <c r="G32" s="270"/>
      <c r="H32" s="242"/>
      <c r="I32" s="242"/>
      <c r="J32" s="242"/>
      <c r="K32" s="242"/>
      <c r="L32" s="242"/>
      <c r="M32" s="242"/>
      <c r="N32" s="251"/>
      <c r="O32" s="242"/>
      <c r="P32" s="242"/>
      <c r="Q32" s="242"/>
      <c r="R32" s="242"/>
      <c r="S32" s="242"/>
      <c r="T32" s="242"/>
      <c r="U32" s="242"/>
      <c r="V32" s="242"/>
      <c r="W32" s="242"/>
      <c r="X32" s="137">
        <f t="shared" si="0"/>
        <v>0</v>
      </c>
      <c r="Y32" s="96" t="s">
        <v>215</v>
      </c>
      <c r="Z32" s="258">
        <v>25</v>
      </c>
      <c r="AA32" s="251">
        <v>50</v>
      </c>
      <c r="AB32" s="251"/>
      <c r="AC32" s="252"/>
      <c r="AD32" s="140">
        <f>X32*Z32/100</f>
        <v>0</v>
      </c>
      <c r="AE32" s="139"/>
      <c r="AF32" s="140">
        <f>X32*AB32/100</f>
        <v>0</v>
      </c>
      <c r="AG32" s="139"/>
      <c r="AH32" s="108">
        <f>SUM(AI32:AQ32)</f>
        <v>0</v>
      </c>
      <c r="AI32" s="153"/>
      <c r="AJ32" s="251"/>
      <c r="AK32" s="269"/>
      <c r="AL32" s="269"/>
      <c r="AM32" s="269"/>
      <c r="AN32" s="269"/>
      <c r="AO32" s="269"/>
      <c r="AP32" s="251"/>
      <c r="AQ32" s="137"/>
    </row>
    <row r="33" spans="1:44" ht="15" customHeight="1">
      <c r="A33" s="136"/>
      <c r="B33" s="136"/>
      <c r="C33" s="247">
        <v>2010.9</v>
      </c>
      <c r="D33" s="242"/>
      <c r="E33" s="242"/>
      <c r="F33" s="242"/>
      <c r="G33" s="242"/>
      <c r="H33" s="242"/>
      <c r="I33" s="242"/>
      <c r="J33" s="242"/>
      <c r="K33" s="242"/>
      <c r="L33" s="242"/>
      <c r="M33" s="242"/>
      <c r="N33" s="242"/>
      <c r="O33" s="242">
        <f>7.7*46%</f>
        <v>3.5420000000000003</v>
      </c>
      <c r="P33" s="242"/>
      <c r="Q33" s="242"/>
      <c r="R33" s="242"/>
      <c r="S33" s="242"/>
      <c r="T33" s="242">
        <f>7.7*54%</f>
        <v>4.1580000000000004</v>
      </c>
      <c r="U33" s="242"/>
      <c r="V33" s="242"/>
      <c r="W33" s="242"/>
      <c r="X33" s="137">
        <f t="shared" si="0"/>
        <v>2018.6</v>
      </c>
      <c r="Y33" s="138" t="s">
        <v>39</v>
      </c>
      <c r="Z33" s="258">
        <v>21.32</v>
      </c>
      <c r="AA33" s="251"/>
      <c r="AB33" s="251">
        <v>81.39</v>
      </c>
      <c r="AC33" s="139"/>
      <c r="AD33" s="140">
        <f>X33*Z33/100</f>
        <v>430.36551999999995</v>
      </c>
      <c r="AE33" s="139"/>
      <c r="AF33" s="135">
        <f>X33*AB33/100</f>
        <v>1642.9385399999999</v>
      </c>
      <c r="AG33" s="137"/>
      <c r="AH33" s="108">
        <f t="shared" si="3"/>
        <v>0</v>
      </c>
      <c r="AI33" s="153"/>
      <c r="AJ33" s="136"/>
      <c r="AK33" s="136"/>
      <c r="AL33" s="136"/>
      <c r="AM33" s="136"/>
      <c r="AN33" s="136"/>
      <c r="AO33" s="136"/>
      <c r="AP33" s="136"/>
      <c r="AQ33" s="137"/>
    </row>
    <row r="34" spans="1:44" ht="15" customHeight="1">
      <c r="A34" s="136"/>
      <c r="B34" s="136"/>
      <c r="C34" s="242"/>
      <c r="D34" s="242"/>
      <c r="E34" s="242"/>
      <c r="F34" s="242"/>
      <c r="G34" s="242"/>
      <c r="H34" s="242"/>
      <c r="I34" s="242"/>
      <c r="J34" s="242"/>
      <c r="K34" s="242"/>
      <c r="L34" s="242"/>
      <c r="M34" s="242"/>
      <c r="N34" s="242"/>
      <c r="O34" s="242"/>
      <c r="P34" s="242"/>
      <c r="Q34" s="242"/>
      <c r="R34" s="242"/>
      <c r="S34" s="242"/>
      <c r="T34" s="242"/>
      <c r="U34" s="242"/>
      <c r="V34" s="242"/>
      <c r="W34" s="242"/>
      <c r="X34" s="137">
        <f t="shared" si="0"/>
        <v>0</v>
      </c>
      <c r="Y34" s="138" t="s">
        <v>40</v>
      </c>
      <c r="Z34" s="258"/>
      <c r="AA34" s="251"/>
      <c r="AB34" s="251">
        <v>0</v>
      </c>
      <c r="AC34" s="139"/>
      <c r="AD34" s="140">
        <f>X34*Z34/100</f>
        <v>0</v>
      </c>
      <c r="AE34" s="139"/>
      <c r="AF34" s="135">
        <f>X34*AB34</f>
        <v>0</v>
      </c>
      <c r="AG34" s="137"/>
      <c r="AH34" s="108">
        <f t="shared" si="3"/>
        <v>0</v>
      </c>
      <c r="AI34" s="153"/>
      <c r="AJ34" s="136"/>
      <c r="AK34" s="136"/>
      <c r="AL34" s="136"/>
      <c r="AM34" s="136"/>
      <c r="AN34" s="136"/>
      <c r="AO34" s="136"/>
      <c r="AP34" s="136"/>
      <c r="AQ34" s="137"/>
    </row>
    <row r="35" spans="1:44" ht="15" customHeight="1">
      <c r="A35" s="136"/>
      <c r="B35" s="136"/>
      <c r="C35" s="242"/>
      <c r="D35" s="242"/>
      <c r="E35" s="259"/>
      <c r="F35" s="242"/>
      <c r="G35" s="242"/>
      <c r="H35" s="242"/>
      <c r="I35" s="242"/>
      <c r="J35" s="242"/>
      <c r="K35" s="242"/>
      <c r="L35" s="242"/>
      <c r="M35" s="242"/>
      <c r="N35" s="242"/>
      <c r="O35" s="242"/>
      <c r="P35" s="242"/>
      <c r="Q35" s="242"/>
      <c r="R35" s="242"/>
      <c r="S35" s="242"/>
      <c r="T35" s="242"/>
      <c r="U35" s="242"/>
      <c r="V35" s="242"/>
      <c r="W35" s="242"/>
      <c r="X35" s="137">
        <f t="shared" si="0"/>
        <v>0</v>
      </c>
      <c r="Y35" s="138" t="s">
        <v>41</v>
      </c>
      <c r="Z35" s="258"/>
      <c r="AA35" s="251"/>
      <c r="AB35" s="251">
        <v>0</v>
      </c>
      <c r="AC35" s="139"/>
      <c r="AD35" s="140">
        <f>X35*Z35/100</f>
        <v>0</v>
      </c>
      <c r="AE35" s="139"/>
      <c r="AF35" s="135">
        <f>X35*AB35</f>
        <v>0</v>
      </c>
      <c r="AG35" s="137"/>
      <c r="AH35" s="108">
        <f t="shared" si="3"/>
        <v>0</v>
      </c>
      <c r="AI35" s="153"/>
      <c r="AJ35" s="136"/>
      <c r="AK35" s="136"/>
      <c r="AL35" s="136"/>
      <c r="AM35" s="136"/>
      <c r="AN35" s="136"/>
      <c r="AO35" s="136"/>
      <c r="AP35" s="136"/>
      <c r="AQ35" s="137"/>
    </row>
    <row r="36" spans="1:44" ht="15" customHeight="1">
      <c r="A36" s="136"/>
      <c r="B36" s="136"/>
      <c r="C36" s="242"/>
      <c r="D36" s="242">
        <v>150.19999999999999</v>
      </c>
      <c r="E36" s="242">
        <v>32</v>
      </c>
      <c r="F36" s="242"/>
      <c r="G36" s="242"/>
      <c r="H36" s="242"/>
      <c r="I36" s="242"/>
      <c r="J36" s="242"/>
      <c r="K36" s="242"/>
      <c r="L36" s="242"/>
      <c r="M36" s="242"/>
      <c r="N36" s="242"/>
      <c r="O36" s="242"/>
      <c r="P36" s="242"/>
      <c r="Q36" s="242"/>
      <c r="R36" s="242"/>
      <c r="S36" s="242"/>
      <c r="T36" s="242"/>
      <c r="U36" s="242"/>
      <c r="V36" s="242"/>
      <c r="W36" s="242"/>
      <c r="X36" s="137">
        <f t="shared" si="0"/>
        <v>182.2</v>
      </c>
      <c r="Y36" s="138" t="s">
        <v>42</v>
      </c>
      <c r="Z36" s="258"/>
      <c r="AA36" s="251"/>
      <c r="AB36" s="251">
        <v>90.01</v>
      </c>
      <c r="AC36" s="139"/>
      <c r="AD36" s="140"/>
      <c r="AE36" s="139"/>
      <c r="AF36" s="135">
        <f>X36*AB36/100</f>
        <v>163.99822</v>
      </c>
      <c r="AG36" s="137"/>
      <c r="AH36" s="108">
        <f t="shared" si="3"/>
        <v>0</v>
      </c>
      <c r="AI36" s="153"/>
      <c r="AJ36" s="136"/>
      <c r="AK36" s="136"/>
      <c r="AL36" s="136"/>
      <c r="AM36" s="136"/>
      <c r="AN36" s="136"/>
      <c r="AO36" s="136"/>
      <c r="AP36" s="136"/>
      <c r="AQ36" s="137"/>
    </row>
    <row r="37" spans="1:44" s="1" customFormat="1" ht="15" customHeight="1">
      <c r="A37" s="269"/>
      <c r="B37" s="269"/>
      <c r="C37" s="269"/>
      <c r="D37" s="251"/>
      <c r="E37" s="251"/>
      <c r="F37" s="251"/>
      <c r="G37" s="251"/>
      <c r="H37" s="251"/>
      <c r="I37" s="251"/>
      <c r="J37" s="251"/>
      <c r="K37" s="251"/>
      <c r="L37" s="251"/>
      <c r="M37" s="251"/>
      <c r="N37" s="144"/>
      <c r="O37" s="251"/>
      <c r="P37" s="251"/>
      <c r="Q37" s="251"/>
      <c r="R37" s="251"/>
      <c r="S37" s="251"/>
      <c r="T37" s="251"/>
      <c r="U37" s="251"/>
      <c r="V37" s="251"/>
      <c r="W37" s="251"/>
      <c r="X37" s="137">
        <f t="shared" si="0"/>
        <v>0</v>
      </c>
      <c r="Y37" s="96" t="s">
        <v>213</v>
      </c>
      <c r="Z37" s="140"/>
      <c r="AA37" s="144"/>
      <c r="AB37" s="144"/>
      <c r="AC37" s="139"/>
      <c r="AD37" s="258">
        <f>-AE37/$D$2%</f>
        <v>0</v>
      </c>
      <c r="AE37" s="164"/>
      <c r="AF37" s="165">
        <f>AE37*AB37%</f>
        <v>0</v>
      </c>
      <c r="AG37" s="171"/>
      <c r="AH37" s="159"/>
      <c r="AI37" s="267"/>
      <c r="AJ37" s="267"/>
      <c r="AK37" s="269"/>
      <c r="AL37" s="269"/>
      <c r="AM37" s="269"/>
      <c r="AN37" s="269"/>
      <c r="AO37" s="269"/>
      <c r="AP37" s="269"/>
      <c r="AQ37" s="171"/>
    </row>
    <row r="38" spans="1:44" ht="15" customHeight="1">
      <c r="A38" s="269"/>
      <c r="B38" s="269"/>
      <c r="C38" s="269"/>
      <c r="D38" s="251"/>
      <c r="E38" s="251"/>
      <c r="F38" s="251"/>
      <c r="G38" s="251"/>
      <c r="H38" s="251"/>
      <c r="I38" s="251"/>
      <c r="J38" s="251"/>
      <c r="K38" s="251"/>
      <c r="L38" s="251"/>
      <c r="M38" s="251"/>
      <c r="N38" s="251"/>
      <c r="O38" s="251"/>
      <c r="P38" s="251"/>
      <c r="Q38" s="251"/>
      <c r="R38" s="251"/>
      <c r="S38" s="251"/>
      <c r="T38" s="251"/>
      <c r="U38" s="251"/>
      <c r="V38" s="251"/>
      <c r="W38" s="251"/>
      <c r="X38" s="137">
        <f t="shared" si="0"/>
        <v>0</v>
      </c>
      <c r="Y38" s="96" t="s">
        <v>214</v>
      </c>
      <c r="Z38" s="140"/>
      <c r="AA38" s="144"/>
      <c r="AB38" s="144"/>
      <c r="AC38" s="139"/>
      <c r="AD38" s="258">
        <f>-AE38/$D$2%</f>
        <v>0</v>
      </c>
      <c r="AE38" s="139"/>
      <c r="AF38" s="140">
        <f>AE38*AB38%</f>
        <v>0</v>
      </c>
      <c r="AG38" s="171"/>
      <c r="AH38" s="159"/>
      <c r="AI38" s="267"/>
      <c r="AJ38" s="267"/>
      <c r="AK38" s="269"/>
      <c r="AL38" s="269"/>
      <c r="AM38" s="269"/>
      <c r="AN38" s="269"/>
      <c r="AO38" s="269"/>
      <c r="AP38" s="269"/>
      <c r="AQ38" s="171"/>
    </row>
    <row r="39" spans="1:44" ht="15" customHeight="1">
      <c r="A39" s="136"/>
      <c r="B39" s="136"/>
      <c r="C39" s="242"/>
      <c r="D39" s="242"/>
      <c r="E39" s="242"/>
      <c r="F39" s="242"/>
      <c r="G39" s="242"/>
      <c r="H39" s="242"/>
      <c r="I39" s="242"/>
      <c r="J39" s="242"/>
      <c r="K39" s="242"/>
      <c r="L39" s="242"/>
      <c r="M39" s="242"/>
      <c r="N39" s="242"/>
      <c r="O39" s="242"/>
      <c r="P39" s="242"/>
      <c r="Q39" s="242"/>
      <c r="R39" s="242"/>
      <c r="S39" s="242"/>
      <c r="T39" s="242"/>
      <c r="U39" s="242"/>
      <c r="V39" s="242"/>
      <c r="W39" s="242"/>
      <c r="X39" s="137">
        <f t="shared" si="0"/>
        <v>0</v>
      </c>
      <c r="Y39" s="138" t="s">
        <v>63</v>
      </c>
      <c r="Z39" s="258"/>
      <c r="AA39" s="251"/>
      <c r="AB39" s="251"/>
      <c r="AC39" s="252">
        <f>100-25</f>
        <v>75</v>
      </c>
      <c r="AD39" s="140"/>
      <c r="AE39" s="139"/>
      <c r="AF39" s="135">
        <f>-SUM(AF33:AF36)</f>
        <v>-1806.9367599999998</v>
      </c>
      <c r="AG39" s="137">
        <f>-AF39*AC39/100</f>
        <v>1355.2025699999999</v>
      </c>
      <c r="AH39" s="108">
        <f>SUM(AI39:AQ39)</f>
        <v>1355.2025699999997</v>
      </c>
      <c r="AI39" s="153">
        <f>AG39*62.71%</f>
        <v>849.84753164699998</v>
      </c>
      <c r="AJ39" s="153">
        <f>AG39*9.72%</f>
        <v>131.72568980400001</v>
      </c>
      <c r="AK39" s="136">
        <f>AG39*12.13%</f>
        <v>164.38607174099999</v>
      </c>
      <c r="AL39" s="136">
        <f>AG39*7.13%</f>
        <v>96.625943241000002</v>
      </c>
      <c r="AM39" s="136">
        <f>AG39*0%</f>
        <v>0</v>
      </c>
      <c r="AN39" s="136">
        <f>AG39*6.34%</f>
        <v>85.919842937999988</v>
      </c>
      <c r="AO39" s="136">
        <f>AG39*1.97%</f>
        <v>26.697490628999997</v>
      </c>
      <c r="AP39" s="136"/>
      <c r="AQ39" s="137"/>
      <c r="AR39" s="19"/>
    </row>
    <row r="40" spans="1:44" ht="15" customHeight="1">
      <c r="A40" s="136"/>
      <c r="B40" s="136"/>
      <c r="C40" s="242"/>
      <c r="D40" s="242"/>
      <c r="E40" s="242"/>
      <c r="F40" s="242"/>
      <c r="G40" s="242"/>
      <c r="H40" s="242"/>
      <c r="I40" s="242"/>
      <c r="J40" s="242"/>
      <c r="K40" s="242"/>
      <c r="L40" s="242"/>
      <c r="M40" s="242"/>
      <c r="N40" s="242"/>
      <c r="O40" s="242"/>
      <c r="P40" s="242"/>
      <c r="Q40" s="242"/>
      <c r="R40" s="242"/>
      <c r="S40" s="242"/>
      <c r="T40" s="242"/>
      <c r="U40" s="242"/>
      <c r="V40" s="242"/>
      <c r="W40" s="242"/>
      <c r="X40" s="137">
        <f t="shared" si="0"/>
        <v>0</v>
      </c>
      <c r="Y40" s="138" t="s">
        <v>13</v>
      </c>
      <c r="Z40" s="258"/>
      <c r="AA40" s="251"/>
      <c r="AB40" s="251"/>
      <c r="AC40" s="252"/>
      <c r="AD40" s="140">
        <f>X40*Z40/100</f>
        <v>0</v>
      </c>
      <c r="AE40" s="139"/>
      <c r="AF40" s="135">
        <f>X40*AB40/100</f>
        <v>0</v>
      </c>
      <c r="AG40" s="137"/>
      <c r="AH40" s="108">
        <f t="shared" si="3"/>
        <v>0</v>
      </c>
      <c r="AI40" s="267"/>
      <c r="AJ40" s="269"/>
      <c r="AK40" s="269"/>
      <c r="AL40" s="269"/>
      <c r="AM40" s="269"/>
      <c r="AN40" s="269"/>
      <c r="AO40" s="269"/>
      <c r="AP40" s="136"/>
      <c r="AQ40" s="137"/>
    </row>
    <row r="41" spans="1:44" ht="15" customHeight="1">
      <c r="A41" s="136"/>
      <c r="B41" s="136"/>
      <c r="C41" s="242"/>
      <c r="D41" s="242"/>
      <c r="E41" s="242"/>
      <c r="F41" s="242"/>
      <c r="G41" s="242"/>
      <c r="H41" s="242"/>
      <c r="I41" s="242"/>
      <c r="J41" s="242"/>
      <c r="K41" s="242"/>
      <c r="L41" s="242"/>
      <c r="M41" s="242"/>
      <c r="N41" s="242"/>
      <c r="O41" s="242"/>
      <c r="P41" s="242"/>
      <c r="Q41" s="242"/>
      <c r="R41" s="242"/>
      <c r="S41" s="242"/>
      <c r="T41" s="242"/>
      <c r="U41" s="242"/>
      <c r="V41" s="242"/>
      <c r="W41" s="242"/>
      <c r="X41" s="137">
        <f t="shared" si="0"/>
        <v>0</v>
      </c>
      <c r="Y41" s="138" t="s">
        <v>14</v>
      </c>
      <c r="Z41" s="258"/>
      <c r="AA41" s="251"/>
      <c r="AB41" s="251"/>
      <c r="AC41" s="252"/>
      <c r="AD41" s="140">
        <f>X41*Z41/100</f>
        <v>0</v>
      </c>
      <c r="AE41" s="139"/>
      <c r="AF41" s="135">
        <f>X41*AB41/100</f>
        <v>0</v>
      </c>
      <c r="AG41" s="137"/>
      <c r="AH41" s="108">
        <f t="shared" si="3"/>
        <v>0</v>
      </c>
      <c r="AI41" s="267"/>
      <c r="AJ41" s="269"/>
      <c r="AK41" s="269"/>
      <c r="AL41" s="269"/>
      <c r="AM41" s="269"/>
      <c r="AN41" s="269"/>
      <c r="AO41" s="269"/>
      <c r="AP41" s="136"/>
      <c r="AQ41" s="137"/>
    </row>
    <row r="42" spans="1:44" ht="15" customHeight="1">
      <c r="A42" s="136"/>
      <c r="B42" s="136"/>
      <c r="C42" s="242"/>
      <c r="D42" s="242"/>
      <c r="E42" s="242"/>
      <c r="F42" s="242"/>
      <c r="G42" s="242"/>
      <c r="H42" s="242"/>
      <c r="I42" s="242"/>
      <c r="J42" s="242"/>
      <c r="K42" s="242"/>
      <c r="L42" s="242"/>
      <c r="M42" s="242"/>
      <c r="N42" s="242"/>
      <c r="O42" s="242"/>
      <c r="P42" s="242"/>
      <c r="Q42" s="242"/>
      <c r="R42" s="242"/>
      <c r="S42" s="242"/>
      <c r="T42" s="242"/>
      <c r="U42" s="242"/>
      <c r="V42" s="242"/>
      <c r="W42" s="242"/>
      <c r="X42" s="137">
        <f t="shared" si="0"/>
        <v>0</v>
      </c>
      <c r="Y42" s="138" t="s">
        <v>15</v>
      </c>
      <c r="Z42" s="258"/>
      <c r="AA42" s="251"/>
      <c r="AB42" s="251"/>
      <c r="AC42" s="252"/>
      <c r="AD42" s="140">
        <f>X42*Z42/100</f>
        <v>0</v>
      </c>
      <c r="AE42" s="139"/>
      <c r="AF42" s="135">
        <f>X42*AB42/100</f>
        <v>0</v>
      </c>
      <c r="AG42" s="137"/>
      <c r="AH42" s="108">
        <f t="shared" si="3"/>
        <v>0</v>
      </c>
      <c r="AI42" s="267"/>
      <c r="AJ42" s="269"/>
      <c r="AK42" s="269"/>
      <c r="AL42" s="269"/>
      <c r="AM42" s="269"/>
      <c r="AN42" s="269"/>
      <c r="AO42" s="269"/>
      <c r="AP42" s="136"/>
      <c r="AQ42" s="137"/>
    </row>
    <row r="43" spans="1:44" ht="15" customHeight="1">
      <c r="A43" s="136"/>
      <c r="B43" s="136"/>
      <c r="C43" s="242"/>
      <c r="D43" s="242"/>
      <c r="E43" s="242"/>
      <c r="F43" s="242"/>
      <c r="G43" s="242"/>
      <c r="H43" s="242"/>
      <c r="I43" s="242"/>
      <c r="J43" s="242"/>
      <c r="K43" s="242"/>
      <c r="L43" s="242"/>
      <c r="M43" s="242"/>
      <c r="N43" s="242"/>
      <c r="O43" s="242"/>
      <c r="P43" s="242"/>
      <c r="Q43" s="242"/>
      <c r="R43" s="242"/>
      <c r="S43" s="242"/>
      <c r="T43" s="242"/>
      <c r="U43" s="242"/>
      <c r="V43" s="242"/>
      <c r="W43" s="242"/>
      <c r="X43" s="137">
        <f t="shared" si="0"/>
        <v>0</v>
      </c>
      <c r="Y43" s="138" t="s">
        <v>64</v>
      </c>
      <c r="Z43" s="258"/>
      <c r="AA43" s="251"/>
      <c r="AB43" s="251"/>
      <c r="AC43" s="252">
        <f>100-25</f>
        <v>75</v>
      </c>
      <c r="AD43" s="140"/>
      <c r="AE43" s="139"/>
      <c r="AF43" s="135">
        <f>-SUM(AF40:AF42)</f>
        <v>0</v>
      </c>
      <c r="AG43" s="137">
        <f>-AF43*AC43/100</f>
        <v>0</v>
      </c>
      <c r="AH43" s="108">
        <f t="shared" si="3"/>
        <v>0</v>
      </c>
      <c r="AI43" s="153">
        <f>AG43*62.71%</f>
        <v>0</v>
      </c>
      <c r="AJ43" s="153">
        <f>AG43*9.72%</f>
        <v>0</v>
      </c>
      <c r="AK43" s="136">
        <f>AG43*12.13%</f>
        <v>0</v>
      </c>
      <c r="AL43" s="136">
        <f>AG43*7.13%</f>
        <v>0</v>
      </c>
      <c r="AM43" s="136">
        <f>AG43*0%</f>
        <v>0</v>
      </c>
      <c r="AN43" s="136">
        <f>AG43*6.34%</f>
        <v>0</v>
      </c>
      <c r="AO43" s="136">
        <f>AG43*1.97%</f>
        <v>0</v>
      </c>
      <c r="AP43" s="136"/>
      <c r="AQ43" s="137"/>
    </row>
    <row r="44" spans="1:44" ht="15" customHeight="1">
      <c r="A44" s="136"/>
      <c r="B44" s="136"/>
      <c r="C44" s="260"/>
      <c r="D44" s="242"/>
      <c r="E44" s="260"/>
      <c r="F44" s="242"/>
      <c r="G44" s="242"/>
      <c r="H44" s="242"/>
      <c r="I44" s="161"/>
      <c r="J44" s="242"/>
      <c r="K44" s="242"/>
      <c r="L44" s="242"/>
      <c r="M44" s="242"/>
      <c r="N44" s="242"/>
      <c r="O44" s="242"/>
      <c r="P44" s="242"/>
      <c r="Q44" s="260"/>
      <c r="R44" s="242"/>
      <c r="S44" s="242"/>
      <c r="T44" s="242"/>
      <c r="U44" s="242"/>
      <c r="V44" s="242"/>
      <c r="W44" s="242"/>
      <c r="X44" s="137">
        <f t="shared" si="0"/>
        <v>0</v>
      </c>
      <c r="Y44" s="138" t="s">
        <v>43</v>
      </c>
      <c r="Z44" s="258"/>
      <c r="AA44" s="251"/>
      <c r="AB44" s="251"/>
      <c r="AC44" s="252"/>
      <c r="AD44" s="135">
        <f>X44*Z44/100</f>
        <v>0</v>
      </c>
      <c r="AE44" s="137"/>
      <c r="AF44" s="135">
        <f t="shared" ref="AF44:AF51" si="5">X44*AB44/100</f>
        <v>0</v>
      </c>
      <c r="AG44" s="137"/>
      <c r="AH44" s="108">
        <f t="shared" si="3"/>
        <v>0</v>
      </c>
      <c r="AI44" s="153"/>
      <c r="AJ44" s="136"/>
      <c r="AK44" s="136"/>
      <c r="AL44" s="136"/>
      <c r="AM44" s="136"/>
      <c r="AN44" s="136"/>
      <c r="AO44" s="136"/>
      <c r="AP44" s="136"/>
      <c r="AQ44" s="137"/>
    </row>
    <row r="45" spans="1:44" ht="15" customHeight="1">
      <c r="A45" s="136"/>
      <c r="B45" s="136"/>
      <c r="C45" s="242"/>
      <c r="D45" s="242"/>
      <c r="E45" s="242"/>
      <c r="F45" s="242"/>
      <c r="G45" s="242"/>
      <c r="H45" s="242"/>
      <c r="I45" s="242"/>
      <c r="J45" s="242"/>
      <c r="K45" s="242"/>
      <c r="L45" s="242"/>
      <c r="M45" s="242"/>
      <c r="N45" s="242"/>
      <c r="O45" s="242"/>
      <c r="P45" s="242"/>
      <c r="Q45" s="242"/>
      <c r="R45" s="242"/>
      <c r="S45" s="242"/>
      <c r="T45" s="242"/>
      <c r="U45" s="242"/>
      <c r="V45" s="242"/>
      <c r="W45" s="242"/>
      <c r="X45" s="137">
        <f t="shared" si="0"/>
        <v>0</v>
      </c>
      <c r="Y45" s="138" t="s">
        <v>44</v>
      </c>
      <c r="Z45" s="258"/>
      <c r="AA45" s="251"/>
      <c r="AB45" s="251"/>
      <c r="AC45" s="252"/>
      <c r="AD45" s="135">
        <f>X45*Z45/100</f>
        <v>0</v>
      </c>
      <c r="AE45" s="137"/>
      <c r="AF45" s="135">
        <f t="shared" si="5"/>
        <v>0</v>
      </c>
      <c r="AG45" s="137"/>
      <c r="AH45" s="108">
        <f t="shared" si="3"/>
        <v>0</v>
      </c>
      <c r="AI45" s="153"/>
      <c r="AJ45" s="136"/>
      <c r="AK45" s="136"/>
      <c r="AL45" s="136"/>
      <c r="AM45" s="136"/>
      <c r="AN45" s="136"/>
      <c r="AO45" s="136"/>
      <c r="AP45" s="136"/>
      <c r="AQ45" s="137"/>
    </row>
    <row r="46" spans="1:44" ht="15" customHeight="1">
      <c r="A46" s="136"/>
      <c r="B46" s="136"/>
      <c r="C46" s="242"/>
      <c r="D46" s="242"/>
      <c r="E46" s="242"/>
      <c r="F46" s="242"/>
      <c r="G46" s="242"/>
      <c r="H46" s="242"/>
      <c r="I46" s="242"/>
      <c r="J46" s="242"/>
      <c r="K46" s="242"/>
      <c r="L46" s="242"/>
      <c r="M46" s="242"/>
      <c r="N46" s="242"/>
      <c r="O46" s="242"/>
      <c r="P46" s="242"/>
      <c r="Q46" s="242"/>
      <c r="R46" s="242"/>
      <c r="S46" s="259"/>
      <c r="T46" s="242"/>
      <c r="U46" s="242"/>
      <c r="V46" s="242"/>
      <c r="W46" s="242"/>
      <c r="X46" s="137">
        <f t="shared" si="0"/>
        <v>0</v>
      </c>
      <c r="Y46" s="138" t="s">
        <v>29</v>
      </c>
      <c r="Z46" s="258"/>
      <c r="AA46" s="251"/>
      <c r="AB46" s="251"/>
      <c r="AC46" s="252"/>
      <c r="AD46" s="135">
        <f>X46*Z46/100</f>
        <v>0</v>
      </c>
      <c r="AE46" s="137"/>
      <c r="AF46" s="135">
        <f t="shared" si="5"/>
        <v>0</v>
      </c>
      <c r="AG46" s="137"/>
      <c r="AH46" s="108">
        <f t="shared" si="3"/>
        <v>0</v>
      </c>
      <c r="AI46" s="153"/>
      <c r="AJ46" s="136"/>
      <c r="AK46" s="136"/>
      <c r="AL46" s="136"/>
      <c r="AM46" s="136"/>
      <c r="AN46" s="136"/>
      <c r="AO46" s="136"/>
      <c r="AP46" s="136"/>
      <c r="AQ46" s="137"/>
    </row>
    <row r="47" spans="1:44" ht="15" customHeight="1">
      <c r="A47" s="136"/>
      <c r="B47" s="136"/>
      <c r="C47" s="242"/>
      <c r="D47" s="242"/>
      <c r="E47" s="242"/>
      <c r="F47" s="242"/>
      <c r="G47" s="242"/>
      <c r="H47" s="242"/>
      <c r="I47" s="242"/>
      <c r="J47" s="242"/>
      <c r="K47" s="242"/>
      <c r="L47" s="242"/>
      <c r="M47" s="242"/>
      <c r="N47" s="242"/>
      <c r="O47" s="242"/>
      <c r="P47" s="242"/>
      <c r="Q47" s="242"/>
      <c r="R47" s="242"/>
      <c r="S47" s="242"/>
      <c r="T47" s="242"/>
      <c r="U47" s="242"/>
      <c r="V47" s="242"/>
      <c r="W47" s="242"/>
      <c r="X47" s="137">
        <f t="shared" si="0"/>
        <v>0</v>
      </c>
      <c r="Y47" s="138" t="s">
        <v>30</v>
      </c>
      <c r="Z47" s="258"/>
      <c r="AA47" s="251"/>
      <c r="AB47" s="251"/>
      <c r="AC47" s="252"/>
      <c r="AD47" s="135">
        <f>X47*Z47/100</f>
        <v>0</v>
      </c>
      <c r="AE47" s="137"/>
      <c r="AF47" s="135">
        <f t="shared" si="5"/>
        <v>0</v>
      </c>
      <c r="AG47" s="137"/>
      <c r="AH47" s="108">
        <f t="shared" si="3"/>
        <v>0</v>
      </c>
      <c r="AI47" s="153"/>
      <c r="AJ47" s="136"/>
      <c r="AK47" s="136"/>
      <c r="AL47" s="136"/>
      <c r="AM47" s="136"/>
      <c r="AN47" s="136"/>
      <c r="AO47" s="136"/>
      <c r="AP47" s="136"/>
      <c r="AQ47" s="137"/>
    </row>
    <row r="48" spans="1:44" s="1" customFormat="1" ht="15" customHeight="1">
      <c r="A48" s="269"/>
      <c r="B48" s="269"/>
      <c r="C48" s="270"/>
      <c r="D48" s="270"/>
      <c r="E48" s="270"/>
      <c r="F48" s="270"/>
      <c r="G48" s="270"/>
      <c r="H48" s="270"/>
      <c r="I48" s="242"/>
      <c r="J48" s="242"/>
      <c r="K48" s="270"/>
      <c r="L48" s="270"/>
      <c r="M48" s="270"/>
      <c r="N48" s="144">
        <f>AH48-AE48</f>
        <v>0</v>
      </c>
      <c r="O48" s="242"/>
      <c r="P48" s="242"/>
      <c r="Q48" s="242"/>
      <c r="R48" s="242"/>
      <c r="S48" s="242"/>
      <c r="T48" s="242"/>
      <c r="U48" s="242"/>
      <c r="V48" s="242"/>
      <c r="W48" s="242"/>
      <c r="X48" s="137">
        <f t="shared" si="0"/>
        <v>0</v>
      </c>
      <c r="Y48" s="138" t="s">
        <v>116</v>
      </c>
      <c r="Z48" s="140"/>
      <c r="AA48" s="144"/>
      <c r="AB48" s="144"/>
      <c r="AC48" s="139"/>
      <c r="AD48" s="258">
        <f>-AG48/$D$2%</f>
        <v>0</v>
      </c>
      <c r="AE48" s="252"/>
      <c r="AF48" s="140">
        <f>X48*AB48/100</f>
        <v>0</v>
      </c>
      <c r="AG48" s="252"/>
      <c r="AH48" s="159"/>
      <c r="AI48" s="267"/>
      <c r="AJ48" s="269"/>
      <c r="AK48" s="269"/>
      <c r="AL48" s="269"/>
      <c r="AM48" s="269"/>
      <c r="AN48" s="269"/>
      <c r="AO48" s="269"/>
      <c r="AP48" s="269"/>
      <c r="AQ48" s="171"/>
    </row>
    <row r="49" spans="1:43" s="1" customFormat="1" ht="15" customHeight="1">
      <c r="A49" s="269"/>
      <c r="B49" s="269"/>
      <c r="C49" s="270"/>
      <c r="D49" s="270"/>
      <c r="E49" s="270"/>
      <c r="F49" s="270"/>
      <c r="G49" s="270"/>
      <c r="H49" s="270"/>
      <c r="I49" s="242"/>
      <c r="J49" s="242"/>
      <c r="K49" s="270"/>
      <c r="L49" s="270"/>
      <c r="M49" s="270"/>
      <c r="N49" s="144"/>
      <c r="O49" s="242"/>
      <c r="P49" s="242"/>
      <c r="Q49" s="242"/>
      <c r="R49" s="242"/>
      <c r="S49" s="242"/>
      <c r="T49" s="242"/>
      <c r="U49" s="242"/>
      <c r="V49" s="242"/>
      <c r="W49" s="242"/>
      <c r="X49" s="137">
        <f t="shared" si="0"/>
        <v>0</v>
      </c>
      <c r="Y49" s="138" t="s">
        <v>117</v>
      </c>
      <c r="Z49" s="140"/>
      <c r="AA49" s="144"/>
      <c r="AB49" s="144"/>
      <c r="AC49" s="139"/>
      <c r="AD49" s="258">
        <f>-AG49/$D$2%</f>
        <v>0</v>
      </c>
      <c r="AE49" s="252"/>
      <c r="AF49" s="258">
        <f>X49*AB49/100</f>
        <v>0</v>
      </c>
      <c r="AG49" s="252"/>
      <c r="AH49" s="159"/>
      <c r="AI49" s="267"/>
      <c r="AJ49" s="269"/>
      <c r="AK49" s="269"/>
      <c r="AL49" s="269"/>
      <c r="AM49" s="269"/>
      <c r="AN49" s="269"/>
      <c r="AO49" s="269"/>
      <c r="AP49" s="269"/>
      <c r="AQ49" s="171"/>
    </row>
    <row r="50" spans="1:43" ht="15" customHeight="1">
      <c r="A50" s="136"/>
      <c r="B50" s="136"/>
      <c r="C50" s="270"/>
      <c r="D50" s="270"/>
      <c r="E50" s="270"/>
      <c r="F50" s="270"/>
      <c r="G50" s="270"/>
      <c r="H50" s="270"/>
      <c r="I50" s="270"/>
      <c r="J50" s="270"/>
      <c r="K50" s="270"/>
      <c r="L50" s="270"/>
      <c r="M50" s="270"/>
      <c r="N50" s="251"/>
      <c r="O50" s="242"/>
      <c r="P50" s="242"/>
      <c r="Q50" s="242"/>
      <c r="R50" s="242"/>
      <c r="S50" s="242"/>
      <c r="T50" s="242"/>
      <c r="U50" s="242"/>
      <c r="V50" s="242"/>
      <c r="W50" s="242"/>
      <c r="X50" s="137">
        <f t="shared" si="0"/>
        <v>0</v>
      </c>
      <c r="Y50" s="167" t="s">
        <v>36</v>
      </c>
      <c r="Z50" s="258"/>
      <c r="AA50" s="251"/>
      <c r="AB50" s="251"/>
      <c r="AC50" s="252"/>
      <c r="AD50" s="135"/>
      <c r="AE50" s="137"/>
      <c r="AF50" s="135">
        <f t="shared" si="5"/>
        <v>0</v>
      </c>
      <c r="AG50" s="137"/>
      <c r="AH50" s="108">
        <f t="shared" si="3"/>
        <v>0</v>
      </c>
      <c r="AI50" s="153"/>
      <c r="AJ50" s="136"/>
      <c r="AK50" s="136"/>
      <c r="AL50" s="136"/>
      <c r="AM50" s="136"/>
      <c r="AN50" s="136"/>
      <c r="AO50" s="136"/>
      <c r="AP50" s="136"/>
      <c r="AQ50" s="137"/>
    </row>
    <row r="51" spans="1:43" ht="15" customHeight="1">
      <c r="A51" s="136"/>
      <c r="B51" s="136"/>
      <c r="C51" s="270"/>
      <c r="D51" s="270"/>
      <c r="E51" s="270"/>
      <c r="F51" s="270"/>
      <c r="G51" s="270"/>
      <c r="H51" s="270"/>
      <c r="I51" s="270"/>
      <c r="J51" s="270"/>
      <c r="K51" s="270"/>
      <c r="L51" s="270"/>
      <c r="M51" s="270"/>
      <c r="N51" s="251"/>
      <c r="O51" s="242"/>
      <c r="P51" s="242"/>
      <c r="Q51" s="242"/>
      <c r="R51" s="242"/>
      <c r="S51" s="242"/>
      <c r="T51" s="242"/>
      <c r="U51" s="242"/>
      <c r="V51" s="242"/>
      <c r="W51" s="242"/>
      <c r="X51" s="137">
        <f t="shared" si="0"/>
        <v>0</v>
      </c>
      <c r="Y51" s="138" t="s">
        <v>31</v>
      </c>
      <c r="Z51" s="258"/>
      <c r="AA51" s="251"/>
      <c r="AB51" s="251"/>
      <c r="AC51" s="252"/>
      <c r="AD51" s="135">
        <f>X51*Z51/100</f>
        <v>0</v>
      </c>
      <c r="AE51" s="137"/>
      <c r="AF51" s="135">
        <f t="shared" si="5"/>
        <v>0</v>
      </c>
      <c r="AG51" s="137"/>
      <c r="AH51" s="108">
        <f t="shared" si="3"/>
        <v>0</v>
      </c>
      <c r="AI51" s="153"/>
      <c r="AJ51" s="136"/>
      <c r="AK51" s="136"/>
      <c r="AL51" s="136"/>
      <c r="AM51" s="136"/>
      <c r="AN51" s="136"/>
      <c r="AO51" s="136"/>
      <c r="AP51" s="136"/>
      <c r="AQ51" s="137"/>
    </row>
    <row r="52" spans="1:43" ht="15" customHeight="1">
      <c r="A52" s="136"/>
      <c r="B52" s="136"/>
      <c r="C52" s="270"/>
      <c r="D52" s="270"/>
      <c r="E52" s="270"/>
      <c r="F52" s="270"/>
      <c r="G52" s="270"/>
      <c r="H52" s="270"/>
      <c r="I52" s="270"/>
      <c r="J52" s="270"/>
      <c r="K52" s="270"/>
      <c r="L52" s="270"/>
      <c r="M52" s="270"/>
      <c r="N52" s="251"/>
      <c r="O52" s="242"/>
      <c r="P52" s="242"/>
      <c r="Q52" s="242"/>
      <c r="R52" s="242"/>
      <c r="S52" s="242"/>
      <c r="T52" s="242"/>
      <c r="U52" s="242"/>
      <c r="V52" s="242"/>
      <c r="W52" s="242"/>
      <c r="X52" s="137">
        <f t="shared" si="0"/>
        <v>0</v>
      </c>
      <c r="Y52" s="138" t="s">
        <v>65</v>
      </c>
      <c r="Z52" s="258"/>
      <c r="AA52" s="251"/>
      <c r="AB52" s="251"/>
      <c r="AC52" s="252">
        <f>100-25</f>
        <v>75</v>
      </c>
      <c r="AD52" s="140"/>
      <c r="AE52" s="139"/>
      <c r="AF52" s="140">
        <f>-SUM(AF44:AF51)</f>
        <v>0</v>
      </c>
      <c r="AG52" s="139">
        <f>-AF52*AC52/100</f>
        <v>0</v>
      </c>
      <c r="AH52" s="108">
        <f t="shared" si="3"/>
        <v>0</v>
      </c>
      <c r="AI52" s="153">
        <f>AG52*62.71%</f>
        <v>0</v>
      </c>
      <c r="AJ52" s="153">
        <f>AG52*9.72%</f>
        <v>0</v>
      </c>
      <c r="AK52" s="136">
        <f>AG52*12.13%</f>
        <v>0</v>
      </c>
      <c r="AL52" s="136">
        <f>AG52*7.13%</f>
        <v>0</v>
      </c>
      <c r="AM52" s="136">
        <f>AG52*0%</f>
        <v>0</v>
      </c>
      <c r="AN52" s="136">
        <f>AG52*6.34%</f>
        <v>0</v>
      </c>
      <c r="AO52" s="136">
        <f>AG52*1.97%</f>
        <v>0</v>
      </c>
      <c r="AP52" s="136"/>
      <c r="AQ52" s="137"/>
    </row>
    <row r="53" spans="1:43" ht="15" customHeight="1">
      <c r="A53" s="136"/>
      <c r="B53" s="136"/>
      <c r="C53" s="270"/>
      <c r="D53" s="270"/>
      <c r="E53" s="270"/>
      <c r="F53" s="270"/>
      <c r="G53" s="270"/>
      <c r="H53" s="270"/>
      <c r="I53" s="242"/>
      <c r="J53" s="270"/>
      <c r="K53" s="270"/>
      <c r="L53" s="270"/>
      <c r="M53" s="270"/>
      <c r="N53" s="251"/>
      <c r="O53" s="242"/>
      <c r="P53" s="242"/>
      <c r="Q53" s="242"/>
      <c r="R53" s="242"/>
      <c r="S53" s="242"/>
      <c r="T53" s="242"/>
      <c r="U53" s="242"/>
      <c r="V53" s="242">
        <f>23.389+2.8908</f>
        <v>26.279799999999998</v>
      </c>
      <c r="W53" s="242"/>
      <c r="X53" s="137">
        <f t="shared" si="0"/>
        <v>26.279799999999998</v>
      </c>
      <c r="Y53" s="138" t="s">
        <v>16</v>
      </c>
      <c r="Z53" s="258">
        <v>24.37</v>
      </c>
      <c r="AA53" s="251"/>
      <c r="AB53" s="251"/>
      <c r="AC53" s="252"/>
      <c r="AD53" s="140">
        <f>X53*Z53/100</f>
        <v>6.40438726</v>
      </c>
      <c r="AE53" s="139"/>
      <c r="AF53" s="140">
        <f>X53*AB53/100</f>
        <v>0</v>
      </c>
      <c r="AG53" s="139"/>
      <c r="AH53" s="108">
        <f t="shared" ref="AH53:AH80" si="6">SUM(AI53:AQ53)</f>
        <v>0</v>
      </c>
      <c r="AI53" s="153"/>
      <c r="AJ53" s="251"/>
      <c r="AK53" s="269"/>
      <c r="AL53" s="269"/>
      <c r="AM53" s="269"/>
      <c r="AN53" s="269"/>
      <c r="AO53" s="269"/>
      <c r="AP53" s="269"/>
      <c r="AQ53" s="137"/>
    </row>
    <row r="54" spans="1:43" ht="15" customHeight="1">
      <c r="A54" s="136"/>
      <c r="B54" s="136"/>
      <c r="C54" s="270"/>
      <c r="D54" s="270"/>
      <c r="E54" s="270"/>
      <c r="F54" s="270"/>
      <c r="G54" s="270"/>
      <c r="H54" s="270"/>
      <c r="I54" s="270"/>
      <c r="J54" s="270"/>
      <c r="K54" s="270"/>
      <c r="L54" s="270"/>
      <c r="M54" s="270"/>
      <c r="N54" s="251"/>
      <c r="O54" s="242"/>
      <c r="P54" s="242"/>
      <c r="Q54" s="242"/>
      <c r="R54" s="242"/>
      <c r="S54" s="242"/>
      <c r="T54" s="242"/>
      <c r="U54" s="242"/>
      <c r="V54" s="242"/>
      <c r="W54" s="242"/>
      <c r="X54" s="137">
        <f t="shared" si="0"/>
        <v>0</v>
      </c>
      <c r="Y54" s="138" t="s">
        <v>17</v>
      </c>
      <c r="Z54" s="258"/>
      <c r="AA54" s="251"/>
      <c r="AB54" s="251"/>
      <c r="AC54" s="252"/>
      <c r="AD54" s="140">
        <f>X54*Z54/100</f>
        <v>0</v>
      </c>
      <c r="AE54" s="139"/>
      <c r="AF54" s="140">
        <f>X54*AB54/100</f>
        <v>0</v>
      </c>
      <c r="AG54" s="139"/>
      <c r="AH54" s="108">
        <f t="shared" si="6"/>
        <v>0</v>
      </c>
      <c r="AI54" s="153"/>
      <c r="AJ54" s="251"/>
      <c r="AK54" s="269"/>
      <c r="AL54" s="269"/>
      <c r="AM54" s="269"/>
      <c r="AN54" s="269"/>
      <c r="AO54" s="269"/>
      <c r="AP54" s="269"/>
      <c r="AQ54" s="137"/>
    </row>
    <row r="55" spans="1:43" ht="15" customHeight="1">
      <c r="A55" s="136"/>
      <c r="B55" s="136"/>
      <c r="C55" s="270"/>
      <c r="D55" s="270"/>
      <c r="E55" s="270"/>
      <c r="F55" s="270"/>
      <c r="G55" s="270"/>
      <c r="H55" s="270"/>
      <c r="I55" s="270"/>
      <c r="J55" s="270"/>
      <c r="K55" s="270"/>
      <c r="L55" s="270"/>
      <c r="M55" s="270"/>
      <c r="N55" s="251"/>
      <c r="O55" s="242"/>
      <c r="P55" s="242"/>
      <c r="Q55" s="242"/>
      <c r="R55" s="242"/>
      <c r="S55" s="242"/>
      <c r="T55" s="242"/>
      <c r="U55" s="242"/>
      <c r="V55" s="242"/>
      <c r="W55" s="242"/>
      <c r="X55" s="137">
        <f t="shared" si="0"/>
        <v>0</v>
      </c>
      <c r="Y55" s="138" t="s">
        <v>66</v>
      </c>
      <c r="Z55" s="258"/>
      <c r="AA55" s="251"/>
      <c r="AB55" s="251"/>
      <c r="AC55" s="252">
        <f>100-25</f>
        <v>75</v>
      </c>
      <c r="AD55" s="140"/>
      <c r="AE55" s="139"/>
      <c r="AF55" s="140">
        <f>-SUM(AF53:AF54)</f>
        <v>0</v>
      </c>
      <c r="AG55" s="139">
        <f>-AF55*AC55/100</f>
        <v>0</v>
      </c>
      <c r="AH55" s="108">
        <f t="shared" si="6"/>
        <v>0</v>
      </c>
      <c r="AI55" s="153">
        <f>AG55*62.71%</f>
        <v>0</v>
      </c>
      <c r="AJ55" s="153">
        <f>AG55*9.72%</f>
        <v>0</v>
      </c>
      <c r="AK55" s="136">
        <f>AG55*12.13%</f>
        <v>0</v>
      </c>
      <c r="AL55" s="136">
        <f>AG55*7.13%</f>
        <v>0</v>
      </c>
      <c r="AM55" s="136">
        <f>AG55*0%</f>
        <v>0</v>
      </c>
      <c r="AN55" s="136">
        <f>AG55*6.34%</f>
        <v>0</v>
      </c>
      <c r="AO55" s="136">
        <f>AG55*1.97%</f>
        <v>0</v>
      </c>
      <c r="AP55" s="136"/>
      <c r="AQ55" s="137"/>
    </row>
    <row r="56" spans="1:43" ht="15" customHeight="1">
      <c r="A56" s="136"/>
      <c r="B56" s="136"/>
      <c r="C56" s="270"/>
      <c r="D56" s="242"/>
      <c r="E56" s="242">
        <v>0.8</v>
      </c>
      <c r="F56" s="242"/>
      <c r="G56" s="242"/>
      <c r="H56" s="242"/>
      <c r="I56" s="242">
        <v>7</v>
      </c>
      <c r="J56" s="242"/>
      <c r="K56" s="242"/>
      <c r="L56" s="242"/>
      <c r="M56" s="242"/>
      <c r="N56" s="251"/>
      <c r="O56" s="242"/>
      <c r="P56" s="242"/>
      <c r="Q56" s="242">
        <v>22</v>
      </c>
      <c r="R56" s="242"/>
      <c r="S56" s="242"/>
      <c r="T56" s="242"/>
      <c r="U56" s="242"/>
      <c r="V56" s="242"/>
      <c r="W56" s="242"/>
      <c r="X56" s="137">
        <f t="shared" si="0"/>
        <v>29.8</v>
      </c>
      <c r="Y56" s="138" t="s">
        <v>28</v>
      </c>
      <c r="Z56" s="258"/>
      <c r="AA56" s="251"/>
      <c r="AB56" s="251">
        <v>66.540000000000006</v>
      </c>
      <c r="AC56" s="252"/>
      <c r="AD56" s="140"/>
      <c r="AE56" s="139"/>
      <c r="AF56" s="140">
        <f>X56*AB56/100</f>
        <v>19.828920000000004</v>
      </c>
      <c r="AG56" s="139"/>
      <c r="AH56" s="108">
        <f t="shared" si="6"/>
        <v>0</v>
      </c>
      <c r="AI56" s="153"/>
      <c r="AJ56" s="136"/>
      <c r="AK56" s="136"/>
      <c r="AL56" s="136"/>
      <c r="AM56" s="136"/>
      <c r="AN56" s="136"/>
      <c r="AO56" s="136"/>
      <c r="AP56" s="136"/>
      <c r="AQ56" s="137"/>
    </row>
    <row r="57" spans="1:43" ht="15" customHeight="1">
      <c r="A57" s="136"/>
      <c r="B57" s="136"/>
      <c r="C57" s="168"/>
      <c r="D57" s="168"/>
      <c r="E57" s="168"/>
      <c r="F57" s="168"/>
      <c r="G57" s="168"/>
      <c r="H57" s="168"/>
      <c r="I57" s="169"/>
      <c r="J57" s="168"/>
      <c r="K57" s="168"/>
      <c r="L57" s="168"/>
      <c r="M57" s="168"/>
      <c r="N57" s="144"/>
      <c r="O57" s="169"/>
      <c r="P57" s="169"/>
      <c r="Q57" s="169"/>
      <c r="R57" s="169"/>
      <c r="S57" s="169"/>
      <c r="T57" s="169"/>
      <c r="U57" s="169"/>
      <c r="V57" s="169"/>
      <c r="W57" s="169"/>
      <c r="X57" s="137">
        <f t="shared" si="0"/>
        <v>0</v>
      </c>
      <c r="Y57" s="138" t="s">
        <v>120</v>
      </c>
      <c r="Z57" s="140"/>
      <c r="AA57" s="144"/>
      <c r="AB57" s="144"/>
      <c r="AC57" s="139"/>
      <c r="AD57" s="140">
        <f>-AG57/$D$2%</f>
        <v>0</v>
      </c>
      <c r="AE57" s="139"/>
      <c r="AF57" s="140">
        <f>AE57*AB57%</f>
        <v>0</v>
      </c>
      <c r="AG57" s="137"/>
      <c r="AH57" s="108"/>
      <c r="AI57" s="153"/>
      <c r="AJ57" s="136"/>
      <c r="AK57" s="136"/>
      <c r="AL57" s="136"/>
      <c r="AM57" s="136"/>
      <c r="AN57" s="136"/>
      <c r="AO57" s="136"/>
      <c r="AP57" s="136"/>
      <c r="AQ57" s="137"/>
    </row>
    <row r="58" spans="1:43" ht="15" customHeight="1">
      <c r="A58" s="144"/>
      <c r="B58" s="144"/>
      <c r="C58" s="169"/>
      <c r="D58" s="169"/>
      <c r="E58" s="169"/>
      <c r="F58" s="169"/>
      <c r="G58" s="169"/>
      <c r="H58" s="169"/>
      <c r="I58" s="169"/>
      <c r="J58" s="169"/>
      <c r="K58" s="169"/>
      <c r="L58" s="169"/>
      <c r="M58" s="169"/>
      <c r="N58" s="169"/>
      <c r="O58" s="169"/>
      <c r="P58" s="169"/>
      <c r="Q58" s="169"/>
      <c r="R58" s="169"/>
      <c r="S58" s="169"/>
      <c r="T58" s="169"/>
      <c r="U58" s="169"/>
      <c r="V58" s="169"/>
      <c r="W58" s="169"/>
      <c r="X58" s="137">
        <f t="shared" si="0"/>
        <v>0</v>
      </c>
      <c r="Y58" s="138" t="s">
        <v>118</v>
      </c>
      <c r="Z58" s="140"/>
      <c r="AA58" s="144"/>
      <c r="AB58" s="144"/>
      <c r="AC58" s="139"/>
      <c r="AD58" s="140"/>
      <c r="AE58" s="139"/>
      <c r="AF58" s="156">
        <f>AE58*AB58%</f>
        <v>0</v>
      </c>
      <c r="AG58" s="139"/>
      <c r="AH58" s="108"/>
      <c r="AI58" s="153"/>
      <c r="AJ58" s="136"/>
      <c r="AK58" s="136"/>
      <c r="AL58" s="136"/>
      <c r="AM58" s="136"/>
      <c r="AN58" s="136"/>
      <c r="AO58" s="136"/>
      <c r="AP58" s="136"/>
      <c r="AQ58" s="137"/>
    </row>
    <row r="59" spans="1:43" ht="15" customHeight="1">
      <c r="A59" s="136"/>
      <c r="B59" s="136"/>
      <c r="C59" s="169"/>
      <c r="D59" s="169"/>
      <c r="E59" s="169"/>
      <c r="F59" s="169"/>
      <c r="G59" s="169"/>
      <c r="H59" s="169"/>
      <c r="I59" s="169"/>
      <c r="J59" s="169"/>
      <c r="K59" s="169"/>
      <c r="L59" s="169"/>
      <c r="M59" s="169"/>
      <c r="N59" s="169"/>
      <c r="O59" s="169"/>
      <c r="P59" s="169"/>
      <c r="Q59" s="169"/>
      <c r="R59" s="169"/>
      <c r="S59" s="169"/>
      <c r="T59" s="169"/>
      <c r="U59" s="169"/>
      <c r="V59" s="169"/>
      <c r="W59" s="169"/>
      <c r="X59" s="137">
        <f t="shared" si="0"/>
        <v>0</v>
      </c>
      <c r="Y59" s="138" t="s">
        <v>119</v>
      </c>
      <c r="Z59" s="140"/>
      <c r="AA59" s="144"/>
      <c r="AB59" s="144"/>
      <c r="AC59" s="139"/>
      <c r="AD59" s="140"/>
      <c r="AE59" s="139"/>
      <c r="AF59" s="140">
        <f>X59*AB59/100</f>
        <v>0</v>
      </c>
      <c r="AG59" s="139"/>
      <c r="AH59" s="108"/>
      <c r="AI59" s="153"/>
      <c r="AJ59" s="136"/>
      <c r="AK59" s="136"/>
      <c r="AL59" s="136"/>
      <c r="AM59" s="136"/>
      <c r="AN59" s="136"/>
      <c r="AO59" s="136"/>
      <c r="AP59" s="136"/>
      <c r="AQ59" s="137"/>
    </row>
    <row r="60" spans="1:43" ht="15" customHeight="1">
      <c r="A60" s="136"/>
      <c r="B60" s="136"/>
      <c r="C60" s="270"/>
      <c r="D60" s="270"/>
      <c r="E60" s="270"/>
      <c r="F60" s="270"/>
      <c r="G60" s="270"/>
      <c r="H60" s="270"/>
      <c r="I60" s="271"/>
      <c r="J60" s="270"/>
      <c r="K60" s="270"/>
      <c r="L60" s="242"/>
      <c r="M60" s="270"/>
      <c r="N60" s="242"/>
      <c r="O60" s="242"/>
      <c r="P60" s="242"/>
      <c r="Q60" s="242"/>
      <c r="R60" s="242"/>
      <c r="S60" s="242"/>
      <c r="T60" s="242"/>
      <c r="U60" s="242"/>
      <c r="V60" s="242"/>
      <c r="W60" s="242"/>
      <c r="X60" s="137">
        <f t="shared" si="0"/>
        <v>0</v>
      </c>
      <c r="Y60" s="138" t="s">
        <v>247</v>
      </c>
      <c r="Z60" s="258"/>
      <c r="AA60" s="251"/>
      <c r="AB60" s="251"/>
      <c r="AC60" s="252"/>
      <c r="AD60" s="140"/>
      <c r="AE60" s="139"/>
      <c r="AF60" s="140">
        <f>X60*AB60/100</f>
        <v>0</v>
      </c>
      <c r="AG60" s="139"/>
      <c r="AH60" s="108">
        <f t="shared" si="6"/>
        <v>0</v>
      </c>
      <c r="AI60" s="153"/>
      <c r="AJ60" s="136"/>
      <c r="AK60" s="136"/>
      <c r="AL60" s="136"/>
      <c r="AM60" s="136"/>
      <c r="AN60" s="136"/>
      <c r="AO60" s="136"/>
      <c r="AP60" s="136"/>
      <c r="AQ60" s="137"/>
    </row>
    <row r="61" spans="1:43" ht="15" customHeight="1">
      <c r="A61" s="135"/>
      <c r="B61" s="136"/>
      <c r="C61" s="270"/>
      <c r="D61" s="270"/>
      <c r="E61" s="270"/>
      <c r="F61" s="270"/>
      <c r="G61" s="270"/>
      <c r="H61" s="270"/>
      <c r="I61" s="270"/>
      <c r="J61" s="270"/>
      <c r="K61" s="270"/>
      <c r="L61" s="270"/>
      <c r="M61" s="270"/>
      <c r="N61" s="242"/>
      <c r="O61" s="242"/>
      <c r="P61" s="242"/>
      <c r="Q61" s="242"/>
      <c r="R61" s="242"/>
      <c r="S61" s="242"/>
      <c r="T61" s="242"/>
      <c r="U61" s="242"/>
      <c r="V61" s="242"/>
      <c r="W61" s="242"/>
      <c r="X61" s="137">
        <f t="shared" si="0"/>
        <v>0</v>
      </c>
      <c r="Y61" s="138" t="s">
        <v>37</v>
      </c>
      <c r="Z61" s="258"/>
      <c r="AA61" s="251"/>
      <c r="AB61" s="251"/>
      <c r="AC61" s="252"/>
      <c r="AD61" s="140">
        <f>X61*Z61%</f>
        <v>0</v>
      </c>
      <c r="AE61" s="139"/>
      <c r="AF61" s="140">
        <f>X61*AB61%</f>
        <v>0</v>
      </c>
      <c r="AG61" s="139"/>
      <c r="AH61" s="108">
        <f t="shared" si="6"/>
        <v>0</v>
      </c>
      <c r="AI61" s="153"/>
      <c r="AJ61" s="136"/>
      <c r="AK61" s="136"/>
      <c r="AL61" s="136"/>
      <c r="AM61" s="136"/>
      <c r="AN61" s="136"/>
      <c r="AO61" s="136"/>
      <c r="AP61" s="136"/>
      <c r="AQ61" s="137"/>
    </row>
    <row r="62" spans="1:43" ht="15" customHeight="1">
      <c r="A62" s="136"/>
      <c r="B62" s="136"/>
      <c r="C62" s="270"/>
      <c r="D62" s="270"/>
      <c r="E62" s="270"/>
      <c r="F62" s="270"/>
      <c r="G62" s="270"/>
      <c r="H62" s="270"/>
      <c r="I62" s="271"/>
      <c r="J62" s="270"/>
      <c r="K62" s="270"/>
      <c r="L62" s="270"/>
      <c r="M62" s="270"/>
      <c r="N62" s="270"/>
      <c r="O62" s="270"/>
      <c r="P62" s="270"/>
      <c r="Q62" s="270"/>
      <c r="R62" s="270"/>
      <c r="S62" s="270"/>
      <c r="T62" s="270"/>
      <c r="U62" s="270"/>
      <c r="V62" s="270"/>
      <c r="W62" s="270"/>
      <c r="X62" s="137">
        <f t="shared" si="0"/>
        <v>0</v>
      </c>
      <c r="Y62" s="138" t="s">
        <v>115</v>
      </c>
      <c r="Z62" s="258"/>
      <c r="AA62" s="251"/>
      <c r="AB62" s="251"/>
      <c r="AC62" s="252">
        <f>100-25</f>
        <v>75</v>
      </c>
      <c r="AD62" s="140"/>
      <c r="AE62" s="139"/>
      <c r="AF62" s="268">
        <f>-SUM(AF56:AF60)</f>
        <v>-19.828920000000004</v>
      </c>
      <c r="AG62" s="139">
        <f>-AF62*AC62/100</f>
        <v>14.871690000000003</v>
      </c>
      <c r="AH62" s="108">
        <f t="shared" si="6"/>
        <v>14.871690000000005</v>
      </c>
      <c r="AI62" s="153">
        <f>AG62*62.71%</f>
        <v>9.3260367990000024</v>
      </c>
      <c r="AJ62" s="153">
        <f>AG62*9.72%</f>
        <v>1.4455282680000003</v>
      </c>
      <c r="AK62" s="136">
        <f>AG62*12.13%</f>
        <v>1.8039359970000004</v>
      </c>
      <c r="AL62" s="136">
        <f>AG62*7.13%</f>
        <v>1.0603514970000003</v>
      </c>
      <c r="AM62" s="136">
        <f>AG62*0%</f>
        <v>0</v>
      </c>
      <c r="AN62" s="136">
        <f>AG62*6.34%</f>
        <v>0.94286514600000015</v>
      </c>
      <c r="AO62" s="136">
        <f>AG62*1.97%</f>
        <v>0.29297229300000005</v>
      </c>
      <c r="AP62" s="136"/>
      <c r="AQ62" s="137"/>
    </row>
    <row r="63" spans="1:43" ht="15" customHeight="1">
      <c r="A63" s="136"/>
      <c r="B63" s="136"/>
      <c r="C63" s="270"/>
      <c r="D63" s="270"/>
      <c r="E63" s="270"/>
      <c r="F63" s="270"/>
      <c r="G63" s="270"/>
      <c r="H63" s="270"/>
      <c r="I63" s="242"/>
      <c r="J63" s="270"/>
      <c r="K63" s="270"/>
      <c r="L63" s="270"/>
      <c r="M63" s="270"/>
      <c r="N63" s="270"/>
      <c r="O63" s="270"/>
      <c r="P63" s="270"/>
      <c r="Q63" s="270"/>
      <c r="R63" s="270"/>
      <c r="S63" s="270"/>
      <c r="T63" s="270"/>
      <c r="U63" s="270"/>
      <c r="V63" s="270"/>
      <c r="W63" s="270"/>
      <c r="X63" s="137">
        <f t="shared" si="0"/>
        <v>0</v>
      </c>
      <c r="Y63" s="138" t="s">
        <v>20</v>
      </c>
      <c r="Z63" s="258"/>
      <c r="AA63" s="251"/>
      <c r="AB63" s="251"/>
      <c r="AC63" s="252"/>
      <c r="AD63" s="135">
        <f t="shared" ref="AD63:AD68" si="7">Z63/100*X63</f>
        <v>0</v>
      </c>
      <c r="AE63" s="137"/>
      <c r="AF63" s="135">
        <f t="shared" ref="AF63:AF68" si="8">X63*AB63/100</f>
        <v>0</v>
      </c>
      <c r="AG63" s="137"/>
      <c r="AH63" s="108">
        <f t="shared" si="6"/>
        <v>0</v>
      </c>
      <c r="AI63" s="153"/>
      <c r="AJ63" s="136"/>
      <c r="AK63" s="136"/>
      <c r="AL63" s="136"/>
      <c r="AM63" s="136"/>
      <c r="AN63" s="136"/>
      <c r="AO63" s="136"/>
      <c r="AP63" s="136"/>
      <c r="AQ63" s="137"/>
    </row>
    <row r="64" spans="1:43" ht="15" customHeight="1">
      <c r="A64" s="136"/>
      <c r="B64" s="136"/>
      <c r="C64" s="270"/>
      <c r="D64" s="270"/>
      <c r="E64" s="270"/>
      <c r="F64" s="270"/>
      <c r="G64" s="270"/>
      <c r="H64" s="270"/>
      <c r="I64" s="270"/>
      <c r="J64" s="270"/>
      <c r="K64" s="270"/>
      <c r="L64" s="270"/>
      <c r="M64" s="270"/>
      <c r="N64" s="270"/>
      <c r="O64" s="242"/>
      <c r="P64" s="242"/>
      <c r="Q64" s="242"/>
      <c r="R64" s="242"/>
      <c r="S64" s="242"/>
      <c r="T64" s="242"/>
      <c r="U64" s="270"/>
      <c r="V64" s="270"/>
      <c r="W64" s="270"/>
      <c r="X64" s="137">
        <f t="shared" si="0"/>
        <v>0</v>
      </c>
      <c r="Y64" s="138" t="s">
        <v>21</v>
      </c>
      <c r="Z64" s="258"/>
      <c r="AA64" s="251"/>
      <c r="AB64" s="251"/>
      <c r="AC64" s="252"/>
      <c r="AD64" s="135">
        <f t="shared" si="7"/>
        <v>0</v>
      </c>
      <c r="AE64" s="137"/>
      <c r="AF64" s="135">
        <f t="shared" si="8"/>
        <v>0</v>
      </c>
      <c r="AG64" s="137"/>
      <c r="AH64" s="108">
        <f t="shared" si="6"/>
        <v>0</v>
      </c>
      <c r="AI64" s="153"/>
      <c r="AJ64" s="136"/>
      <c r="AK64" s="136"/>
      <c r="AL64" s="136"/>
      <c r="AM64" s="136"/>
      <c r="AN64" s="136"/>
      <c r="AO64" s="136"/>
      <c r="AP64" s="136"/>
      <c r="AQ64" s="137"/>
    </row>
    <row r="65" spans="1:43" ht="15" customHeight="1">
      <c r="A65" s="136"/>
      <c r="B65" s="136"/>
      <c r="C65" s="270"/>
      <c r="D65" s="270"/>
      <c r="E65" s="270"/>
      <c r="F65" s="270"/>
      <c r="G65" s="270"/>
      <c r="H65" s="270"/>
      <c r="I65" s="242"/>
      <c r="J65" s="270"/>
      <c r="K65" s="270"/>
      <c r="L65" s="270"/>
      <c r="M65" s="270"/>
      <c r="N65" s="270"/>
      <c r="O65" s="270"/>
      <c r="P65" s="270"/>
      <c r="Q65" s="270"/>
      <c r="R65" s="270"/>
      <c r="S65" s="270"/>
      <c r="T65" s="270"/>
      <c r="U65" s="270"/>
      <c r="V65" s="270"/>
      <c r="W65" s="270"/>
      <c r="X65" s="137">
        <f t="shared" si="0"/>
        <v>0</v>
      </c>
      <c r="Y65" s="138" t="s">
        <v>22</v>
      </c>
      <c r="Z65" s="258"/>
      <c r="AA65" s="251"/>
      <c r="AB65" s="251"/>
      <c r="AC65" s="252"/>
      <c r="AD65" s="135">
        <f t="shared" si="7"/>
        <v>0</v>
      </c>
      <c r="AE65" s="137"/>
      <c r="AF65" s="135">
        <f t="shared" si="8"/>
        <v>0</v>
      </c>
      <c r="AG65" s="137"/>
      <c r="AH65" s="108">
        <f t="shared" si="6"/>
        <v>0</v>
      </c>
      <c r="AI65" s="153"/>
      <c r="AJ65" s="136"/>
      <c r="AK65" s="136"/>
      <c r="AL65" s="136"/>
      <c r="AM65" s="136"/>
      <c r="AN65" s="136"/>
      <c r="AO65" s="136"/>
      <c r="AP65" s="136"/>
      <c r="AQ65" s="137"/>
    </row>
    <row r="66" spans="1:43" ht="15" customHeight="1">
      <c r="A66" s="136"/>
      <c r="B66" s="136"/>
      <c r="C66" s="144"/>
      <c r="D66" s="144"/>
      <c r="E66" s="144"/>
      <c r="F66" s="144"/>
      <c r="G66" s="144"/>
      <c r="H66" s="144"/>
      <c r="I66" s="144"/>
      <c r="J66" s="136"/>
      <c r="K66" s="136"/>
      <c r="L66" s="136"/>
      <c r="M66" s="136"/>
      <c r="N66" s="136"/>
      <c r="O66" s="136"/>
      <c r="P66" s="144"/>
      <c r="Q66" s="136"/>
      <c r="R66" s="136"/>
      <c r="S66" s="144"/>
      <c r="T66" s="136"/>
      <c r="U66" s="136"/>
      <c r="V66" s="144"/>
      <c r="W66" s="136"/>
      <c r="X66" s="137">
        <f t="shared" si="0"/>
        <v>0</v>
      </c>
      <c r="Y66" s="138" t="s">
        <v>23</v>
      </c>
      <c r="Z66" s="258"/>
      <c r="AA66" s="251"/>
      <c r="AB66" s="251"/>
      <c r="AC66" s="252"/>
      <c r="AD66" s="135">
        <f t="shared" si="7"/>
        <v>0</v>
      </c>
      <c r="AE66" s="137"/>
      <c r="AF66" s="135">
        <f t="shared" si="8"/>
        <v>0</v>
      </c>
      <c r="AG66" s="137"/>
      <c r="AH66" s="108">
        <f t="shared" si="6"/>
        <v>0</v>
      </c>
      <c r="AI66" s="153"/>
      <c r="AJ66" s="136"/>
      <c r="AK66" s="136"/>
      <c r="AL66" s="136"/>
      <c r="AM66" s="136"/>
      <c r="AN66" s="136"/>
      <c r="AO66" s="136"/>
      <c r="AP66" s="136"/>
      <c r="AQ66" s="137"/>
    </row>
    <row r="67" spans="1:43" ht="15" customHeight="1">
      <c r="A67" s="136"/>
      <c r="B67" s="136"/>
      <c r="C67" s="144"/>
      <c r="D67" s="144"/>
      <c r="E67" s="144"/>
      <c r="F67" s="144"/>
      <c r="G67" s="144"/>
      <c r="H67" s="144"/>
      <c r="I67" s="144"/>
      <c r="J67" s="136"/>
      <c r="K67" s="136"/>
      <c r="L67" s="136"/>
      <c r="M67" s="136"/>
      <c r="N67" s="136"/>
      <c r="O67" s="136"/>
      <c r="P67" s="144"/>
      <c r="Q67" s="136"/>
      <c r="R67" s="136"/>
      <c r="S67" s="136"/>
      <c r="T67" s="136"/>
      <c r="U67" s="136"/>
      <c r="V67" s="144"/>
      <c r="W67" s="136"/>
      <c r="X67" s="137">
        <f t="shared" si="0"/>
        <v>0</v>
      </c>
      <c r="Y67" s="138" t="s">
        <v>24</v>
      </c>
      <c r="Z67" s="258"/>
      <c r="AA67" s="251"/>
      <c r="AB67" s="251"/>
      <c r="AC67" s="252"/>
      <c r="AD67" s="135">
        <f t="shared" si="7"/>
        <v>0</v>
      </c>
      <c r="AE67" s="137"/>
      <c r="AF67" s="135">
        <f t="shared" si="8"/>
        <v>0</v>
      </c>
      <c r="AG67" s="137"/>
      <c r="AH67" s="108">
        <f t="shared" si="6"/>
        <v>0</v>
      </c>
      <c r="AI67" s="153"/>
      <c r="AJ67" s="136"/>
      <c r="AK67" s="136"/>
      <c r="AL67" s="136"/>
      <c r="AM67" s="136"/>
      <c r="AN67" s="136"/>
      <c r="AO67" s="136"/>
      <c r="AP67" s="136"/>
      <c r="AQ67" s="137"/>
    </row>
    <row r="68" spans="1:43" ht="15" customHeight="1">
      <c r="A68" s="136"/>
      <c r="B68" s="136"/>
      <c r="C68" s="144"/>
      <c r="D68" s="144"/>
      <c r="E68" s="144"/>
      <c r="F68" s="144"/>
      <c r="G68" s="144"/>
      <c r="H68" s="144"/>
      <c r="I68" s="144"/>
      <c r="J68" s="136"/>
      <c r="K68" s="136"/>
      <c r="L68" s="136"/>
      <c r="M68" s="136"/>
      <c r="N68" s="136"/>
      <c r="O68" s="136"/>
      <c r="P68" s="144"/>
      <c r="Q68" s="136"/>
      <c r="R68" s="136"/>
      <c r="S68" s="144"/>
      <c r="T68" s="136"/>
      <c r="U68" s="136"/>
      <c r="V68" s="144"/>
      <c r="W68" s="136"/>
      <c r="X68" s="137">
        <f t="shared" si="0"/>
        <v>0</v>
      </c>
      <c r="Y68" s="138" t="s">
        <v>25</v>
      </c>
      <c r="Z68" s="258"/>
      <c r="AA68" s="251"/>
      <c r="AB68" s="251"/>
      <c r="AC68" s="252"/>
      <c r="AD68" s="135">
        <f t="shared" si="7"/>
        <v>0</v>
      </c>
      <c r="AE68" s="171"/>
      <c r="AF68" s="258">
        <f t="shared" si="8"/>
        <v>0</v>
      </c>
      <c r="AG68" s="137"/>
      <c r="AH68" s="108">
        <f t="shared" si="6"/>
        <v>0</v>
      </c>
      <c r="AI68" s="153"/>
      <c r="AJ68" s="136"/>
      <c r="AK68" s="136"/>
      <c r="AL68" s="136"/>
      <c r="AM68" s="136"/>
      <c r="AN68" s="136"/>
      <c r="AO68" s="136"/>
      <c r="AP68" s="136"/>
      <c r="AQ68" s="137"/>
    </row>
    <row r="69" spans="1:43" ht="15" customHeight="1">
      <c r="A69" s="136"/>
      <c r="B69" s="136"/>
      <c r="C69" s="136"/>
      <c r="D69" s="136"/>
      <c r="E69" s="136"/>
      <c r="F69" s="136"/>
      <c r="G69" s="136"/>
      <c r="H69" s="136"/>
      <c r="I69" s="136"/>
      <c r="J69" s="136"/>
      <c r="K69" s="136"/>
      <c r="L69" s="136"/>
      <c r="M69" s="136"/>
      <c r="N69" s="136"/>
      <c r="O69" s="136"/>
      <c r="P69" s="136"/>
      <c r="Q69" s="136"/>
      <c r="R69" s="136"/>
      <c r="S69" s="136"/>
      <c r="T69" s="136"/>
      <c r="U69" s="136"/>
      <c r="V69" s="144"/>
      <c r="W69" s="136"/>
      <c r="X69" s="137">
        <f t="shared" si="0"/>
        <v>0</v>
      </c>
      <c r="Y69" s="167" t="s">
        <v>26</v>
      </c>
      <c r="Z69" s="268"/>
      <c r="AA69" s="269"/>
      <c r="AB69" s="269"/>
      <c r="AC69" s="243"/>
      <c r="AD69" s="135">
        <f>-AE69</f>
        <v>0</v>
      </c>
      <c r="AE69" s="252"/>
      <c r="AF69" s="268"/>
      <c r="AG69" s="137"/>
      <c r="AH69" s="108">
        <f t="shared" si="6"/>
        <v>0</v>
      </c>
      <c r="AI69" s="153"/>
      <c r="AJ69" s="136"/>
      <c r="AK69" s="136"/>
      <c r="AL69" s="136"/>
      <c r="AM69" s="136"/>
      <c r="AN69" s="136">
        <f>AE69</f>
        <v>0</v>
      </c>
      <c r="AO69" s="136"/>
      <c r="AP69" s="136"/>
      <c r="AQ69" s="137"/>
    </row>
    <row r="70" spans="1:43" ht="15" customHeight="1">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7">
        <f t="shared" si="0"/>
        <v>0</v>
      </c>
      <c r="Y70" s="167" t="s">
        <v>27</v>
      </c>
      <c r="Z70" s="268"/>
      <c r="AA70" s="269"/>
      <c r="AB70" s="269"/>
      <c r="AC70" s="252"/>
      <c r="AD70" s="135"/>
      <c r="AE70" s="171"/>
      <c r="AF70" s="258"/>
      <c r="AG70" s="173"/>
      <c r="AH70" s="108">
        <f t="shared" si="6"/>
        <v>0</v>
      </c>
      <c r="AI70" s="153"/>
      <c r="AJ70" s="136"/>
      <c r="AK70" s="136"/>
      <c r="AL70" s="136"/>
      <c r="AM70" s="136"/>
      <c r="AN70" s="136">
        <f>-AF70</f>
        <v>0</v>
      </c>
      <c r="AO70" s="136"/>
      <c r="AP70" s="136"/>
      <c r="AQ70" s="137"/>
    </row>
    <row r="71" spans="1:43" ht="15" customHeight="1">
      <c r="A71" s="136"/>
      <c r="B71" s="136"/>
      <c r="C71" s="136"/>
      <c r="D71" s="136"/>
      <c r="E71" s="136"/>
      <c r="F71" s="136"/>
      <c r="G71" s="136"/>
      <c r="H71" s="136"/>
      <c r="I71" s="136"/>
      <c r="J71" s="136"/>
      <c r="K71" s="136"/>
      <c r="L71" s="136"/>
      <c r="M71" s="136"/>
      <c r="N71" s="136"/>
      <c r="O71" s="136"/>
      <c r="P71" s="144"/>
      <c r="Q71" s="136"/>
      <c r="R71" s="136"/>
      <c r="S71" s="136"/>
      <c r="T71" s="136"/>
      <c r="U71" s="136"/>
      <c r="V71" s="136"/>
      <c r="W71" s="136"/>
      <c r="X71" s="137">
        <f t="shared" si="0"/>
        <v>0</v>
      </c>
      <c r="Y71" s="138" t="s">
        <v>67</v>
      </c>
      <c r="Z71" s="268"/>
      <c r="AA71" s="269"/>
      <c r="AB71" s="269"/>
      <c r="AC71" s="252">
        <f>100-25</f>
        <v>75</v>
      </c>
      <c r="AD71" s="135"/>
      <c r="AE71" s="137"/>
      <c r="AF71" s="135">
        <f>-SUM(AF63:AF70)</f>
        <v>0</v>
      </c>
      <c r="AG71" s="137">
        <f>-AF71*AC71/100</f>
        <v>0</v>
      </c>
      <c r="AH71" s="108">
        <f t="shared" si="6"/>
        <v>0</v>
      </c>
      <c r="AI71" s="153">
        <f>AG71*62.71%</f>
        <v>0</v>
      </c>
      <c r="AJ71" s="153">
        <f>AG71*9.72%</f>
        <v>0</v>
      </c>
      <c r="AK71" s="136">
        <f>AG71*12.13%</f>
        <v>0</v>
      </c>
      <c r="AL71" s="136">
        <f>AG71*7.13%</f>
        <v>0</v>
      </c>
      <c r="AM71" s="136">
        <f>AG71*0%</f>
        <v>0</v>
      </c>
      <c r="AN71" s="136">
        <f>AG71*6.34%</f>
        <v>0</v>
      </c>
      <c r="AO71" s="136">
        <f>AG71*1.97%</f>
        <v>0</v>
      </c>
      <c r="AP71" s="136"/>
      <c r="AQ71" s="137"/>
    </row>
    <row r="72" spans="1:43" ht="15" customHeight="1">
      <c r="A72" s="135"/>
      <c r="B72" s="136"/>
      <c r="C72" s="136"/>
      <c r="D72" s="144"/>
      <c r="E72" s="144"/>
      <c r="F72" s="251"/>
      <c r="G72" s="251"/>
      <c r="H72" s="251">
        <v>1315.45</v>
      </c>
      <c r="I72" s="251"/>
      <c r="J72" s="251"/>
      <c r="K72" s="251"/>
      <c r="L72" s="251"/>
      <c r="M72" s="251"/>
      <c r="N72" s="251"/>
      <c r="O72" s="251"/>
      <c r="P72" s="251"/>
      <c r="Q72" s="136"/>
      <c r="R72" s="136"/>
      <c r="S72" s="136"/>
      <c r="T72" s="136"/>
      <c r="U72" s="136"/>
      <c r="V72" s="136"/>
      <c r="W72" s="136"/>
      <c r="X72" s="137">
        <f t="shared" si="0"/>
        <v>1315.45</v>
      </c>
      <c r="Y72" s="138" t="s">
        <v>68</v>
      </c>
      <c r="Z72" s="135"/>
      <c r="AA72" s="136">
        <v>20</v>
      </c>
      <c r="AB72" s="136"/>
      <c r="AC72" s="139"/>
      <c r="AD72" s="135"/>
      <c r="AE72" s="137"/>
      <c r="AF72" s="135"/>
      <c r="AG72" s="137"/>
      <c r="AH72" s="108">
        <f t="shared" si="6"/>
        <v>263.08999999999997</v>
      </c>
      <c r="AI72" s="153"/>
      <c r="AJ72" s="136"/>
      <c r="AK72" s="136"/>
      <c r="AL72" s="136"/>
      <c r="AM72" s="136"/>
      <c r="AN72" s="136"/>
      <c r="AO72" s="136"/>
      <c r="AP72" s="136"/>
      <c r="AQ72" s="137">
        <f>X72*AA72/100</f>
        <v>263.08999999999997</v>
      </c>
    </row>
    <row r="73" spans="1:43" ht="15" customHeight="1">
      <c r="A73" s="135"/>
      <c r="B73" s="136"/>
      <c r="C73" s="136"/>
      <c r="D73" s="144"/>
      <c r="E73" s="144"/>
      <c r="F73" s="251">
        <v>122.79</v>
      </c>
      <c r="G73" s="251"/>
      <c r="H73" s="251"/>
      <c r="I73" s="251"/>
      <c r="J73" s="251"/>
      <c r="K73" s="251"/>
      <c r="L73" s="251"/>
      <c r="M73" s="251"/>
      <c r="N73" s="251"/>
      <c r="O73" s="251"/>
      <c r="P73" s="251"/>
      <c r="Q73" s="136"/>
      <c r="R73" s="136"/>
      <c r="S73" s="136"/>
      <c r="T73" s="136"/>
      <c r="U73" s="136"/>
      <c r="V73" s="136"/>
      <c r="W73" s="136"/>
      <c r="X73" s="137">
        <f t="shared" si="0"/>
        <v>122.79</v>
      </c>
      <c r="Y73" s="138" t="s">
        <v>69</v>
      </c>
      <c r="Z73" s="135"/>
      <c r="AA73" s="136">
        <v>25</v>
      </c>
      <c r="AB73" s="136"/>
      <c r="AC73" s="139"/>
      <c r="AD73" s="135"/>
      <c r="AE73" s="137"/>
      <c r="AF73" s="135"/>
      <c r="AG73" s="137"/>
      <c r="AH73" s="108">
        <f t="shared" si="6"/>
        <v>30.697500000000002</v>
      </c>
      <c r="AI73" s="153"/>
      <c r="AJ73" s="136"/>
      <c r="AK73" s="136"/>
      <c r="AL73" s="136"/>
      <c r="AM73" s="136"/>
      <c r="AN73" s="136"/>
      <c r="AO73" s="136"/>
      <c r="AP73" s="136"/>
      <c r="AQ73" s="137">
        <f>X73*AA73/100</f>
        <v>30.697500000000002</v>
      </c>
    </row>
    <row r="74" spans="1:43" ht="15" customHeight="1">
      <c r="A74" s="135"/>
      <c r="B74" s="136"/>
      <c r="C74" s="136"/>
      <c r="D74" s="144"/>
      <c r="E74" s="144"/>
      <c r="F74" s="251">
        <v>305.82</v>
      </c>
      <c r="G74" s="251"/>
      <c r="H74" s="251"/>
      <c r="I74" s="251"/>
      <c r="J74" s="251"/>
      <c r="K74" s="251"/>
      <c r="L74" s="251"/>
      <c r="M74" s="251"/>
      <c r="N74" s="251"/>
      <c r="O74" s="251"/>
      <c r="P74" s="251"/>
      <c r="Q74" s="136"/>
      <c r="R74" s="136"/>
      <c r="S74" s="136"/>
      <c r="T74" s="136"/>
      <c r="U74" s="136"/>
      <c r="V74" s="136"/>
      <c r="W74" s="136"/>
      <c r="X74" s="137">
        <f>SUM(A74:W74)</f>
        <v>305.82</v>
      </c>
      <c r="Y74" s="138" t="s">
        <v>121</v>
      </c>
      <c r="Z74" s="135"/>
      <c r="AA74" s="136">
        <v>25</v>
      </c>
      <c r="AB74" s="136"/>
      <c r="AC74" s="139"/>
      <c r="AD74" s="135"/>
      <c r="AE74" s="137"/>
      <c r="AF74" s="135"/>
      <c r="AG74" s="137"/>
      <c r="AH74" s="108">
        <f t="shared" si="6"/>
        <v>76.454999999999998</v>
      </c>
      <c r="AI74" s="153"/>
      <c r="AJ74" s="136"/>
      <c r="AK74" s="136"/>
      <c r="AL74" s="136"/>
      <c r="AM74" s="136"/>
      <c r="AN74" s="136"/>
      <c r="AO74" s="136"/>
      <c r="AP74" s="136"/>
      <c r="AQ74" s="137">
        <f>X74*AA74/100</f>
        <v>76.454999999999998</v>
      </c>
    </row>
    <row r="75" spans="1:43" ht="15" customHeight="1">
      <c r="A75" s="135"/>
      <c r="B75" s="136"/>
      <c r="C75" s="136"/>
      <c r="D75" s="144"/>
      <c r="E75" s="144"/>
      <c r="F75" s="251">
        <v>75.599999999999994</v>
      </c>
      <c r="G75" s="251"/>
      <c r="H75" s="251"/>
      <c r="I75" s="251"/>
      <c r="J75" s="251"/>
      <c r="K75" s="251"/>
      <c r="L75" s="251"/>
      <c r="M75" s="251"/>
      <c r="N75" s="251"/>
      <c r="O75" s="251"/>
      <c r="P75" s="251"/>
      <c r="Q75" s="136"/>
      <c r="R75" s="136"/>
      <c r="S75" s="136"/>
      <c r="T75" s="136"/>
      <c r="U75" s="136"/>
      <c r="V75" s="136"/>
      <c r="W75" s="136"/>
      <c r="X75" s="137">
        <f t="shared" si="0"/>
        <v>75.599999999999994</v>
      </c>
      <c r="Y75" s="138" t="s">
        <v>9</v>
      </c>
      <c r="Z75" s="135"/>
      <c r="AA75" s="136">
        <v>33</v>
      </c>
      <c r="AB75" s="136"/>
      <c r="AC75" s="139"/>
      <c r="AD75" s="135"/>
      <c r="AE75" s="137"/>
      <c r="AF75" s="135"/>
      <c r="AG75" s="137"/>
      <c r="AH75" s="108">
        <f t="shared" si="6"/>
        <v>24.947999999999997</v>
      </c>
      <c r="AI75" s="153"/>
      <c r="AJ75" s="136"/>
      <c r="AK75" s="136"/>
      <c r="AL75" s="136"/>
      <c r="AM75" s="136"/>
      <c r="AN75" s="136"/>
      <c r="AO75" s="136"/>
      <c r="AP75" s="136"/>
      <c r="AQ75" s="137">
        <f>X75*AA75/100</f>
        <v>24.947999999999997</v>
      </c>
    </row>
    <row r="76" spans="1:43" ht="15" customHeight="1">
      <c r="A76" s="135"/>
      <c r="B76" s="136"/>
      <c r="C76" s="136"/>
      <c r="D76" s="144"/>
      <c r="E76" s="144"/>
      <c r="F76" s="251">
        <v>417.53</v>
      </c>
      <c r="G76" s="251"/>
      <c r="H76" s="251"/>
      <c r="I76" s="251"/>
      <c r="J76" s="251"/>
      <c r="K76" s="251"/>
      <c r="L76" s="251"/>
      <c r="M76" s="251"/>
      <c r="N76" s="251"/>
      <c r="O76" s="251"/>
      <c r="P76" s="251"/>
      <c r="Q76" s="136"/>
      <c r="R76" s="136"/>
      <c r="S76" s="136"/>
      <c r="T76" s="136"/>
      <c r="U76" s="136"/>
      <c r="V76" s="136"/>
      <c r="W76" s="136"/>
      <c r="X76" s="137">
        <f t="shared" si="0"/>
        <v>417.53</v>
      </c>
      <c r="Y76" s="138" t="s">
        <v>70</v>
      </c>
      <c r="Z76" s="135"/>
      <c r="AA76" s="136">
        <v>33</v>
      </c>
      <c r="AB76" s="136"/>
      <c r="AC76" s="137"/>
      <c r="AD76" s="135"/>
      <c r="AE76" s="137"/>
      <c r="AF76" s="135"/>
      <c r="AG76" s="137"/>
      <c r="AH76" s="108">
        <f t="shared" si="6"/>
        <v>137.78489999999999</v>
      </c>
      <c r="AI76" s="153"/>
      <c r="AJ76" s="136"/>
      <c r="AK76" s="136"/>
      <c r="AL76" s="136"/>
      <c r="AM76" s="136"/>
      <c r="AN76" s="136"/>
      <c r="AO76" s="136"/>
      <c r="AP76" s="136"/>
      <c r="AQ76" s="137">
        <f>X76*AA76/100</f>
        <v>137.78489999999999</v>
      </c>
    </row>
    <row r="77" spans="1:43" ht="15" customHeight="1">
      <c r="A77" s="135"/>
      <c r="B77" s="136"/>
      <c r="C77" s="136"/>
      <c r="D77" s="144"/>
      <c r="E77" s="144"/>
      <c r="F77" s="142">
        <v>259.58999999999997</v>
      </c>
      <c r="G77" s="251"/>
      <c r="H77" s="251"/>
      <c r="I77" s="251"/>
      <c r="J77" s="251"/>
      <c r="K77" s="251"/>
      <c r="L77" s="251"/>
      <c r="M77" s="251"/>
      <c r="N77" s="251"/>
      <c r="O77" s="251"/>
      <c r="P77" s="251"/>
      <c r="Q77" s="136"/>
      <c r="R77" s="136"/>
      <c r="S77" s="136"/>
      <c r="T77" s="136"/>
      <c r="U77" s="136"/>
      <c r="V77" s="136"/>
      <c r="W77" s="136"/>
      <c r="X77" s="137">
        <f t="shared" si="0"/>
        <v>259.58999999999997</v>
      </c>
      <c r="Y77" s="138" t="s">
        <v>10</v>
      </c>
      <c r="Z77" s="135"/>
      <c r="AA77" s="136">
        <v>33</v>
      </c>
      <c r="AB77" s="136"/>
      <c r="AC77" s="137"/>
      <c r="AD77" s="135"/>
      <c r="AE77" s="137"/>
      <c r="AF77" s="135"/>
      <c r="AG77" s="137"/>
      <c r="AH77" s="108">
        <f t="shared" si="6"/>
        <v>85.664699999999996</v>
      </c>
      <c r="AI77" s="153"/>
      <c r="AJ77" s="136"/>
      <c r="AK77" s="136"/>
      <c r="AL77" s="136"/>
      <c r="AM77" s="136"/>
      <c r="AN77" s="136"/>
      <c r="AO77" s="136"/>
      <c r="AP77" s="136">
        <f>X77*AA77%</f>
        <v>85.664699999999996</v>
      </c>
      <c r="AQ77" s="137"/>
    </row>
    <row r="78" spans="1:43" ht="15" customHeight="1">
      <c r="A78" s="174"/>
      <c r="B78" s="175"/>
      <c r="C78" s="175"/>
      <c r="D78" s="176"/>
      <c r="E78" s="176"/>
      <c r="F78" s="248">
        <v>70.680000000000007</v>
      </c>
      <c r="G78" s="176"/>
      <c r="H78" s="176"/>
      <c r="I78" s="176"/>
      <c r="J78" s="176"/>
      <c r="K78" s="175"/>
      <c r="L78" s="175"/>
      <c r="M78" s="175"/>
      <c r="N78" s="175"/>
      <c r="O78" s="175"/>
      <c r="P78" s="175"/>
      <c r="Q78" s="175"/>
      <c r="R78" s="175"/>
      <c r="S78" s="175"/>
      <c r="T78" s="175"/>
      <c r="U78" s="175"/>
      <c r="V78" s="175"/>
      <c r="W78" s="175"/>
      <c r="X78" s="137">
        <f t="shared" si="0"/>
        <v>70.680000000000007</v>
      </c>
      <c r="Y78" s="177" t="s">
        <v>32</v>
      </c>
      <c r="Z78" s="174"/>
      <c r="AA78" s="136">
        <v>33</v>
      </c>
      <c r="AB78" s="175"/>
      <c r="AC78" s="178"/>
      <c r="AD78" s="135">
        <f>-AE78/$D$2%</f>
        <v>0</v>
      </c>
      <c r="AE78" s="179"/>
      <c r="AF78" s="174"/>
      <c r="AG78" s="178"/>
      <c r="AH78" s="108">
        <f t="shared" si="6"/>
        <v>23.324400000000001</v>
      </c>
      <c r="AI78" s="180"/>
      <c r="AJ78" s="175"/>
      <c r="AK78" s="175"/>
      <c r="AL78" s="175"/>
      <c r="AM78" s="175"/>
      <c r="AN78" s="175"/>
      <c r="AO78" s="175"/>
      <c r="AP78" s="175"/>
      <c r="AQ78" s="137">
        <f>X78*AA78/100+AE78*AA78%</f>
        <v>23.324400000000001</v>
      </c>
    </row>
    <row r="79" spans="1:43" ht="15" customHeight="1">
      <c r="A79" s="174"/>
      <c r="B79" s="175"/>
      <c r="C79" s="175"/>
      <c r="D79" s="176"/>
      <c r="E79" s="176"/>
      <c r="F79" s="176"/>
      <c r="G79" s="261">
        <v>508.14</v>
      </c>
      <c r="H79" s="144">
        <v>2.73</v>
      </c>
      <c r="I79" s="176"/>
      <c r="J79" s="176"/>
      <c r="K79" s="175"/>
      <c r="L79" s="175"/>
      <c r="M79" s="175"/>
      <c r="N79" s="175"/>
      <c r="O79" s="175"/>
      <c r="P79" s="175"/>
      <c r="Q79" s="175"/>
      <c r="R79" s="175"/>
      <c r="S79" s="175"/>
      <c r="T79" s="175"/>
      <c r="U79" s="175"/>
      <c r="V79" s="175"/>
      <c r="W79" s="175"/>
      <c r="X79" s="137">
        <f t="shared" si="0"/>
        <v>510.87</v>
      </c>
      <c r="Y79" s="177" t="s">
        <v>33</v>
      </c>
      <c r="Z79" s="174"/>
      <c r="AA79" s="136">
        <v>33</v>
      </c>
      <c r="AB79" s="175"/>
      <c r="AC79" s="178"/>
      <c r="AD79" s="174"/>
      <c r="AE79" s="178"/>
      <c r="AF79" s="174"/>
      <c r="AG79" s="178"/>
      <c r="AH79" s="108">
        <f t="shared" si="6"/>
        <v>168.58709999999999</v>
      </c>
      <c r="AI79" s="180"/>
      <c r="AJ79" s="175"/>
      <c r="AK79" s="175"/>
      <c r="AL79" s="175"/>
      <c r="AM79" s="175"/>
      <c r="AN79" s="175"/>
      <c r="AO79" s="175"/>
      <c r="AP79" s="175"/>
      <c r="AQ79" s="137">
        <f>X79*AA79/100</f>
        <v>168.58709999999999</v>
      </c>
    </row>
    <row r="80" spans="1:43" ht="15" customHeight="1" thickBot="1">
      <c r="A80" s="174"/>
      <c r="B80" s="175"/>
      <c r="C80" s="175"/>
      <c r="D80" s="248">
        <v>62.75</v>
      </c>
      <c r="E80" s="176"/>
      <c r="F80" s="248">
        <v>49.04</v>
      </c>
      <c r="G80" s="176"/>
      <c r="H80" s="176"/>
      <c r="I80" s="176"/>
      <c r="J80" s="176"/>
      <c r="K80" s="175"/>
      <c r="L80" s="175"/>
      <c r="M80" s="175"/>
      <c r="N80" s="175"/>
      <c r="O80" s="175"/>
      <c r="P80" s="175"/>
      <c r="Q80" s="175"/>
      <c r="R80" s="175"/>
      <c r="S80" s="175"/>
      <c r="T80" s="175"/>
      <c r="U80" s="175"/>
      <c r="V80" s="175"/>
      <c r="W80" s="175"/>
      <c r="X80" s="178">
        <f t="shared" si="0"/>
        <v>111.78999999999999</v>
      </c>
      <c r="Y80" s="181" t="s">
        <v>11</v>
      </c>
      <c r="Z80" s="182"/>
      <c r="AA80" s="136">
        <v>33</v>
      </c>
      <c r="AB80" s="183"/>
      <c r="AC80" s="184"/>
      <c r="AD80" s="182"/>
      <c r="AE80" s="184"/>
      <c r="AF80" s="182"/>
      <c r="AG80" s="184"/>
      <c r="AH80" s="109">
        <f t="shared" si="6"/>
        <v>36.890699999999995</v>
      </c>
      <c r="AI80" s="185"/>
      <c r="AJ80" s="183"/>
      <c r="AK80" s="183"/>
      <c r="AL80" s="183"/>
      <c r="AM80" s="183"/>
      <c r="AN80" s="183"/>
      <c r="AO80" s="183"/>
      <c r="AP80" s="183"/>
      <c r="AQ80" s="137">
        <f>X80*AA80/100</f>
        <v>36.890699999999995</v>
      </c>
    </row>
    <row r="81" spans="1:44" ht="15" customHeight="1" thickBot="1">
      <c r="A81" s="186">
        <f t="shared" ref="A81:W81" si="9">SUM(A8:A80)</f>
        <v>927.241061863901</v>
      </c>
      <c r="B81" s="187">
        <f t="shared" si="9"/>
        <v>164.77</v>
      </c>
      <c r="C81" s="187">
        <f t="shared" si="9"/>
        <v>2104.29</v>
      </c>
      <c r="D81" s="187">
        <f t="shared" si="9"/>
        <v>301.76</v>
      </c>
      <c r="E81" s="187">
        <f t="shared" si="9"/>
        <v>1826.32</v>
      </c>
      <c r="F81" s="187">
        <f t="shared" si="9"/>
        <v>1301.05</v>
      </c>
      <c r="G81" s="187">
        <f t="shared" si="9"/>
        <v>508.14</v>
      </c>
      <c r="H81" s="187">
        <f t="shared" si="9"/>
        <v>1318.18</v>
      </c>
      <c r="I81" s="187">
        <f t="shared" si="9"/>
        <v>216.42</v>
      </c>
      <c r="J81" s="187">
        <f t="shared" si="9"/>
        <v>14.45</v>
      </c>
      <c r="K81" s="187">
        <f t="shared" si="9"/>
        <v>0</v>
      </c>
      <c r="L81" s="187">
        <f t="shared" si="9"/>
        <v>1.4</v>
      </c>
      <c r="M81" s="187">
        <f t="shared" si="9"/>
        <v>0</v>
      </c>
      <c r="N81" s="187">
        <f t="shared" si="9"/>
        <v>0</v>
      </c>
      <c r="O81" s="187">
        <f t="shared" si="9"/>
        <v>3.5420000000000003</v>
      </c>
      <c r="P81" s="187">
        <f t="shared" si="9"/>
        <v>0</v>
      </c>
      <c r="Q81" s="187">
        <f t="shared" si="9"/>
        <v>261.89999999999998</v>
      </c>
      <c r="R81" s="187">
        <f t="shared" si="9"/>
        <v>139.28</v>
      </c>
      <c r="S81" s="187">
        <f t="shared" si="9"/>
        <v>15.27</v>
      </c>
      <c r="T81" s="187">
        <f t="shared" si="9"/>
        <v>4.1580000000000004</v>
      </c>
      <c r="U81" s="187">
        <f t="shared" si="9"/>
        <v>0</v>
      </c>
      <c r="V81" s="187">
        <f t="shared" si="9"/>
        <v>26.279799999999998</v>
      </c>
      <c r="W81" s="187">
        <f t="shared" si="9"/>
        <v>116.2</v>
      </c>
      <c r="X81" s="188">
        <f>SUM(X8:X80)</f>
        <v>9250.6508618639036</v>
      </c>
      <c r="Y81" s="20" t="s">
        <v>2</v>
      </c>
      <c r="Z81" s="189"/>
      <c r="AA81" s="189"/>
      <c r="AB81" s="189"/>
      <c r="AC81" s="189"/>
      <c r="AD81" s="186">
        <f t="shared" ref="AD81:AQ81" si="10">SUM(AD8:AD80)</f>
        <v>3.5527136788005009E-14</v>
      </c>
      <c r="AE81" s="188">
        <f t="shared" si="10"/>
        <v>1276.5927035056447</v>
      </c>
      <c r="AF81" s="186">
        <f t="shared" si="10"/>
        <v>0</v>
      </c>
      <c r="AG81" s="188">
        <f t="shared" si="10"/>
        <v>1370.0742599999999</v>
      </c>
      <c r="AH81" s="20">
        <f t="shared" si="10"/>
        <v>5549.3396735400011</v>
      </c>
      <c r="AI81" s="190">
        <f t="shared" si="10"/>
        <v>2912.816359246</v>
      </c>
      <c r="AJ81" s="187">
        <f t="shared" si="10"/>
        <v>251.80072249200001</v>
      </c>
      <c r="AK81" s="187">
        <f t="shared" si="10"/>
        <v>235.57613373799998</v>
      </c>
      <c r="AL81" s="187">
        <f t="shared" si="10"/>
        <v>221.73404245799998</v>
      </c>
      <c r="AM81" s="187">
        <f t="shared" si="10"/>
        <v>16.058286799999998</v>
      </c>
      <c r="AN81" s="187">
        <f t="shared" si="10"/>
        <v>951.946143484</v>
      </c>
      <c r="AO81" s="187">
        <f t="shared" si="10"/>
        <v>28.210462921999998</v>
      </c>
      <c r="AP81" s="187">
        <f t="shared" si="10"/>
        <v>162.585149</v>
      </c>
      <c r="AQ81" s="188">
        <f t="shared" si="10"/>
        <v>768.61237339999991</v>
      </c>
    </row>
    <row r="82" spans="1:44" ht="15" customHeight="1">
      <c r="A82" s="150">
        <f t="shared" ref="A82:V82" si="11">A81*A89/1000</f>
        <v>220.68337272360841</v>
      </c>
      <c r="B82" s="147">
        <f t="shared" si="11"/>
        <v>11.121975000000001</v>
      </c>
      <c r="C82" s="147">
        <f t="shared" si="11"/>
        <v>197.80326000000002</v>
      </c>
      <c r="D82" s="147">
        <f t="shared" si="11"/>
        <v>23.718336000000001</v>
      </c>
      <c r="E82" s="147">
        <f t="shared" si="11"/>
        <v>135.14767999999998</v>
      </c>
      <c r="F82" s="147">
        <f t="shared" si="11"/>
        <v>96.277699999999996</v>
      </c>
      <c r="G82" s="147">
        <f t="shared" si="11"/>
        <v>36.586080000000003</v>
      </c>
      <c r="H82" s="147">
        <f t="shared" si="11"/>
        <v>96.227140000000006</v>
      </c>
      <c r="I82" s="147">
        <f t="shared" si="11"/>
        <v>12.314297999999999</v>
      </c>
      <c r="J82" s="147">
        <f t="shared" si="11"/>
        <v>0</v>
      </c>
      <c r="K82" s="147">
        <f t="shared" si="11"/>
        <v>0</v>
      </c>
      <c r="L82" s="147">
        <f t="shared" si="11"/>
        <v>0</v>
      </c>
      <c r="M82" s="147">
        <f t="shared" si="11"/>
        <v>0</v>
      </c>
      <c r="N82" s="147">
        <v>0</v>
      </c>
      <c r="O82" s="147">
        <f t="shared" si="11"/>
        <v>0</v>
      </c>
      <c r="P82" s="147">
        <f t="shared" si="11"/>
        <v>0</v>
      </c>
      <c r="Q82" s="147">
        <f t="shared" si="11"/>
        <v>0</v>
      </c>
      <c r="R82" s="147">
        <f t="shared" si="11"/>
        <v>0</v>
      </c>
      <c r="S82" s="147">
        <f t="shared" si="11"/>
        <v>0</v>
      </c>
      <c r="T82" s="147">
        <f t="shared" si="11"/>
        <v>0</v>
      </c>
      <c r="U82" s="147">
        <f t="shared" si="11"/>
        <v>0</v>
      </c>
      <c r="V82" s="147">
        <f t="shared" si="11"/>
        <v>0</v>
      </c>
      <c r="W82" s="147">
        <f>W81*W89/1000</f>
        <v>9.5539640000000006</v>
      </c>
      <c r="X82" s="151">
        <f>SUM(A82:W82)</f>
        <v>839.43380572360832</v>
      </c>
      <c r="Y82" s="21" t="s">
        <v>248</v>
      </c>
      <c r="Z82" s="191">
        <f>X82*1000/D1</f>
        <v>9.2735647292127439</v>
      </c>
      <c r="AA82" s="192" t="s">
        <v>12</v>
      </c>
      <c r="AB82" s="192"/>
      <c r="AC82" s="193"/>
      <c r="AD82" s="19"/>
      <c r="AE82" s="19"/>
      <c r="AF82" s="19"/>
      <c r="AG82" s="19"/>
      <c r="AH82" s="19"/>
      <c r="AI82" s="19"/>
      <c r="AJ82" s="19"/>
      <c r="AK82" s="19"/>
      <c r="AL82" s="19"/>
      <c r="AM82" s="19"/>
      <c r="AN82" s="19"/>
      <c r="AO82" s="19"/>
      <c r="AP82" s="19"/>
      <c r="AQ82" s="19"/>
    </row>
    <row r="83" spans="1:44" ht="15" customHeight="1">
      <c r="A83" s="135"/>
      <c r="B83" s="136"/>
      <c r="C83" s="136"/>
      <c r="D83" s="136"/>
      <c r="E83" s="136"/>
      <c r="F83" s="136"/>
      <c r="G83" s="136"/>
      <c r="H83" s="136"/>
      <c r="I83" s="136"/>
      <c r="J83" s="136"/>
      <c r="K83" s="136"/>
      <c r="L83" s="136"/>
      <c r="M83" s="136"/>
      <c r="N83" s="136"/>
      <c r="O83" s="251">
        <v>299.89999999999998</v>
      </c>
      <c r="P83" s="251">
        <v>952</v>
      </c>
      <c r="Q83" s="251">
        <v>974.5</v>
      </c>
      <c r="R83" s="251">
        <v>438</v>
      </c>
      <c r="S83" s="144"/>
      <c r="T83" s="136"/>
      <c r="U83" s="136"/>
      <c r="V83" s="136"/>
      <c r="W83" s="136"/>
      <c r="X83" s="137">
        <f>SUM(A83:W83)</f>
        <v>2664.4</v>
      </c>
      <c r="Y83" s="108" t="s">
        <v>35</v>
      </c>
      <c r="Z83" s="93">
        <f>(SUM(J14:V14)+AD15*A87%+SUM(J19:V19)+SUM(J20:V20)+SUM(J21:V21)+SUM(J22:V22)+SUM(J25:V25)+SUM(J72:V72)+SUM(J73:V73)+SUM(J74:V74)+SUM(J75:V75)+SUM(J76:V76)+SUM(J77:V77)+SUM(J78:V78)+SUM(J79:V79)+SUM(J80:V80)+SUM(J26:V26)*(Z26%+AB26%)+SUM(J27:V27)*(Z27%+AB27%)+SUM(J28:V28)*(Z28%+AB28%)+SUM(J29:V29)*(Z29%+AB29%)+SUM(J30:V30)*(Z30%+AB30%)+SUM(J32:V32)*(Z32%+AA32%+AB32%)+SUM(J31:V31)*(AA31%)+SUM(J33:V33)*(Z33%+AB33%)+SUM(J34:V34)*(Z34%+AB34%)+SUM(J35:V35)*(Z35%+AB35%)+SUM(J36:V36)*(Z36%+AB36%)+SUM(J37:V37)+SUM(J40:V40)*(Z40%+AB40%)+SUM(J41:V41)*(Z41%+AB41%)+SUM(J42:V42)*(Z42%+AB42%)+SUM(J44:V44)*(Z44%+AB44%)+SUM(J45:V45)*(Z45%+AB45%)+SUM(J46:V46)*(Z46%+AB46%)+SUM(J47:V47)*(Z47%+AB47%)+SUM(J48:V48)+SUM(J50:V50)*(Z50%+AB50%)+SUM(J51:V51)*(Z51%+AB51%)+SUM(J53:V53)*(Z53%+AA53%+AB53%)+SUM(J54:V54)*(Z54%+AA54%+AB54%)+SUM(J56:V56)*(Z56%+AB56%)+SUM(J57:V57)+SUM(J59:V59)*(Z59%+AB59%)+SUM(J60:V60)*(Z60%+AB60%)+SUM(J61:V61)*(Z61%+AB61%)+SUM(J63:V63)*(Z63%+AB63%)+SUM(J64:V64)*(Z64%+AB64%)+SUM(J65:V65)*(Z65%+AB65%)+SUM(J66:V66)*(Z66%+AB66%)+SUM(J67:V67)*(Z67%+AB67%)+SUM(J68:V68)*(Z68%+AB68%))/(SUM(X8:X14)+SUM(X16:X25)+X32*AA32%+X53*AA53%+X54*AA54%+SUM(X72:X80)+(AG39/AC39%+AG43/AC43%+AG52/AC52%+AG55/AC55%+AG62/AC62%+AG71/AC71%)+AE81+SUM(AE8:AE14)*(1-D2%)+(-AF70))*100</f>
        <v>4.7487823979463686</v>
      </c>
      <c r="AA83" s="2" t="s">
        <v>210</v>
      </c>
      <c r="AB83" s="262"/>
      <c r="AC83" s="263"/>
      <c r="AD83" s="19"/>
      <c r="AE83" s="19"/>
      <c r="AF83" s="19"/>
      <c r="AG83" s="19"/>
      <c r="AH83" s="19"/>
      <c r="AI83" s="19"/>
      <c r="AJ83" s="19"/>
      <c r="AK83" s="19"/>
      <c r="AL83" s="19"/>
      <c r="AM83" s="19"/>
      <c r="AN83" s="19"/>
      <c r="AO83" s="19"/>
      <c r="AP83" s="19"/>
      <c r="AQ83" s="19"/>
    </row>
    <row r="84" spans="1:44" ht="15" customHeight="1" thickBot="1">
      <c r="A84" s="182"/>
      <c r="B84" s="183"/>
      <c r="C84" s="183"/>
      <c r="D84" s="183"/>
      <c r="E84" s="183"/>
      <c r="F84" s="183"/>
      <c r="G84" s="183"/>
      <c r="H84" s="183"/>
      <c r="I84" s="183"/>
      <c r="J84" s="183" t="str">
        <f>IF(J83&gt;0,J81/J83*100,"")</f>
        <v/>
      </c>
      <c r="K84" s="183" t="str">
        <f t="shared" ref="K84:W84" si="12">IF(K83&gt;0,K81/K83*100,"")</f>
        <v/>
      </c>
      <c r="L84" s="183" t="str">
        <f t="shared" si="12"/>
        <v/>
      </c>
      <c r="M84" s="183" t="str">
        <f t="shared" si="12"/>
        <v/>
      </c>
      <c r="N84" s="183" t="str">
        <f t="shared" si="12"/>
        <v/>
      </c>
      <c r="O84" s="183">
        <f t="shared" si="12"/>
        <v>1.1810603534511506</v>
      </c>
      <c r="P84" s="183">
        <f t="shared" si="12"/>
        <v>0</v>
      </c>
      <c r="Q84" s="183">
        <f t="shared" si="12"/>
        <v>26.875320677270391</v>
      </c>
      <c r="R84" s="183">
        <f t="shared" si="12"/>
        <v>31.799086757990867</v>
      </c>
      <c r="S84" s="183" t="str">
        <f t="shared" si="12"/>
        <v/>
      </c>
      <c r="T84" s="183" t="str">
        <f t="shared" si="12"/>
        <v/>
      </c>
      <c r="U84" s="183" t="str">
        <f t="shared" si="12"/>
        <v/>
      </c>
      <c r="V84" s="183" t="str">
        <f>IF(V83&gt;0,V81/V83*100,"")</f>
        <v/>
      </c>
      <c r="W84" s="183" t="str">
        <f t="shared" si="12"/>
        <v/>
      </c>
      <c r="X84" s="184">
        <f>SUMIF(J83:W83,"&gt;0",J81:W81)/SUM(J83:W83)%</f>
        <v>15.189986488515236</v>
      </c>
      <c r="Y84" s="109" t="s">
        <v>38</v>
      </c>
      <c r="Z84" s="264">
        <f>SUM(J81:V81)/X81*100</f>
        <v>5.0405080351940752</v>
      </c>
      <c r="AA84" s="94" t="s">
        <v>252</v>
      </c>
      <c r="AB84" s="265"/>
      <c r="AC84" s="266"/>
      <c r="AD84" s="19"/>
      <c r="AE84" s="19"/>
      <c r="AF84" s="19"/>
      <c r="AG84" s="19"/>
      <c r="AH84" s="19"/>
      <c r="AI84" s="19"/>
      <c r="AJ84" s="19"/>
      <c r="AK84" s="19"/>
      <c r="AL84" s="19"/>
      <c r="AM84" s="19"/>
      <c r="AN84" s="19"/>
      <c r="AO84" s="19"/>
      <c r="AP84" s="19"/>
      <c r="AQ84" s="19"/>
    </row>
    <row r="85" spans="1:44" ht="15" customHeight="1" thickBo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4" ht="17.25" customHeight="1">
      <c r="A86" s="249" t="s">
        <v>122</v>
      </c>
      <c r="B86" s="438" t="str">
        <f t="shared" ref="B86:W86" si="13">B7</f>
        <v xml:space="preserve">  LPG og petroleum</v>
      </c>
      <c r="C86" s="438" t="str">
        <f t="shared" si="13"/>
        <v xml:space="preserve">  Kul</v>
      </c>
      <c r="D86" s="438" t="str">
        <f t="shared" si="13"/>
        <v xml:space="preserve">  Fuelolie</v>
      </c>
      <c r="E86" s="438" t="str">
        <f t="shared" si="13"/>
        <v xml:space="preserve">  Brændselsolie</v>
      </c>
      <c r="F86" s="438" t="str">
        <f t="shared" si="13"/>
        <v xml:space="preserve">  Dieselolie</v>
      </c>
      <c r="G86" s="438" t="str">
        <f t="shared" si="13"/>
        <v xml:space="preserve">  JP1</v>
      </c>
      <c r="H86" s="438" t="str">
        <f t="shared" si="13"/>
        <v xml:space="preserve">  Benzin</v>
      </c>
      <c r="I86" s="438" t="str">
        <f t="shared" si="13"/>
        <v xml:space="preserve">  Naturgas</v>
      </c>
      <c r="J86" s="438" t="str">
        <f t="shared" si="13"/>
        <v xml:space="preserve">  Vindenergi</v>
      </c>
      <c r="K86" s="438" t="str">
        <f t="shared" si="13"/>
        <v xml:space="preserve">  Vandenergi</v>
      </c>
      <c r="L86" s="438" t="str">
        <f t="shared" si="13"/>
        <v xml:space="preserve">  Solenergi</v>
      </c>
      <c r="M86" s="438" t="str">
        <f t="shared" si="13"/>
        <v xml:space="preserve">  Geotermi</v>
      </c>
      <c r="N86" s="438" t="str">
        <f t="shared" si="13"/>
        <v xml:space="preserve">  Varmekilder til varmepumper</v>
      </c>
      <c r="O86" s="438" t="str">
        <f t="shared" si="13"/>
        <v xml:space="preserve">  Husdyrsgødning</v>
      </c>
      <c r="P86" s="438" t="str">
        <f t="shared" si="13"/>
        <v xml:space="preserve">  Biobrændstof og energiafgrøder</v>
      </c>
      <c r="Q86" s="438" t="str">
        <f t="shared" si="13"/>
        <v xml:space="preserve">  Halm</v>
      </c>
      <c r="R86" s="438" t="str">
        <f t="shared" si="13"/>
        <v xml:space="preserve">  Brænde og træflis</v>
      </c>
      <c r="S86" s="438" t="str">
        <f t="shared" si="13"/>
        <v xml:space="preserve">  Træpiller og træaffald</v>
      </c>
      <c r="T86" s="438" t="str">
        <f t="shared" si="13"/>
        <v xml:space="preserve">  Organisk affald, industri</v>
      </c>
      <c r="U86" s="438" t="str">
        <f t="shared" si="13"/>
        <v xml:space="preserve">  Organisk affald, husholdninger</v>
      </c>
      <c r="V86" s="438" t="str">
        <f t="shared" si="13"/>
        <v xml:space="preserve">  Deponi, slam, renseanlæg</v>
      </c>
      <c r="W86" s="444" t="str">
        <f t="shared" si="13"/>
        <v xml:space="preserve">  Affald, ikke bionedbrydeligt</v>
      </c>
      <c r="X86" s="4"/>
      <c r="Y86" s="4"/>
      <c r="Z86" s="4"/>
      <c r="AA86" s="4"/>
      <c r="AB86" s="4"/>
      <c r="AC86" s="4"/>
      <c r="AD86" s="4"/>
      <c r="AE86" s="4"/>
      <c r="AF86" s="4"/>
      <c r="AG86" s="4"/>
      <c r="AH86" s="4"/>
      <c r="AI86" s="4"/>
      <c r="AJ86" s="4"/>
      <c r="AK86" s="4"/>
      <c r="AL86" s="4"/>
      <c r="AM86" s="4"/>
      <c r="AN86" s="4"/>
      <c r="AO86" s="4"/>
      <c r="AP86" s="4"/>
      <c r="AQ86" s="4"/>
    </row>
    <row r="87" spans="1:44" ht="19.2">
      <c r="A87" s="250">
        <v>0</v>
      </c>
      <c r="B87" s="439"/>
      <c r="C87" s="439"/>
      <c r="D87" s="439"/>
      <c r="E87" s="439"/>
      <c r="F87" s="439"/>
      <c r="G87" s="439"/>
      <c r="H87" s="439"/>
      <c r="I87" s="439"/>
      <c r="J87" s="439"/>
      <c r="K87" s="439"/>
      <c r="L87" s="439"/>
      <c r="M87" s="439"/>
      <c r="N87" s="439"/>
      <c r="O87" s="439"/>
      <c r="P87" s="439"/>
      <c r="Q87" s="439"/>
      <c r="R87" s="439"/>
      <c r="S87" s="439"/>
      <c r="T87" s="439"/>
      <c r="U87" s="439"/>
      <c r="V87" s="439"/>
      <c r="W87" s="445"/>
      <c r="X87" s="4"/>
      <c r="Y87" s="4"/>
      <c r="Z87" s="4"/>
      <c r="AA87" s="4"/>
      <c r="AB87" s="4"/>
      <c r="AC87" s="4"/>
      <c r="AD87" s="4"/>
      <c r="AE87" s="4"/>
      <c r="AF87" s="4"/>
      <c r="AG87" s="4"/>
      <c r="AH87" s="4"/>
      <c r="AI87" s="4"/>
      <c r="AJ87" s="4"/>
      <c r="AK87" s="4"/>
      <c r="AL87" s="4"/>
      <c r="AM87" s="4"/>
      <c r="AN87" s="4"/>
      <c r="AO87" s="4"/>
      <c r="AP87" s="4"/>
      <c r="AQ87" s="4"/>
    </row>
    <row r="88" spans="1:44" ht="123" customHeight="1" thickBot="1">
      <c r="A88" s="195" t="s">
        <v>123</v>
      </c>
      <c r="B88" s="440"/>
      <c r="C88" s="440"/>
      <c r="D88" s="440"/>
      <c r="E88" s="440"/>
      <c r="F88" s="440"/>
      <c r="G88" s="440"/>
      <c r="H88" s="440"/>
      <c r="I88" s="440"/>
      <c r="J88" s="440"/>
      <c r="K88" s="440"/>
      <c r="L88" s="440"/>
      <c r="M88" s="440"/>
      <c r="N88" s="440"/>
      <c r="O88" s="440"/>
      <c r="P88" s="440"/>
      <c r="Q88" s="440"/>
      <c r="R88" s="440"/>
      <c r="S88" s="440"/>
      <c r="T88" s="440"/>
      <c r="U88" s="440"/>
      <c r="V88" s="440"/>
      <c r="W88" s="446"/>
      <c r="X88" s="4"/>
      <c r="Y88" s="4"/>
      <c r="Z88" s="4"/>
      <c r="AA88" s="4"/>
      <c r="AB88" s="4"/>
      <c r="AC88" s="4"/>
      <c r="AD88" s="4"/>
      <c r="AE88" s="4"/>
      <c r="AF88" s="4"/>
      <c r="AG88" s="4"/>
      <c r="AH88" s="4"/>
      <c r="AI88" s="4"/>
      <c r="AJ88" s="4"/>
      <c r="AK88" s="4"/>
      <c r="AL88" s="4"/>
      <c r="AM88" s="4"/>
      <c r="AN88" s="4"/>
      <c r="AO88" s="4"/>
      <c r="AP88" s="4"/>
      <c r="AQ88" s="4"/>
    </row>
    <row r="89" spans="1:44" s="25" customFormat="1" ht="15" customHeight="1" thickBot="1">
      <c r="A89" s="276">
        <v>238</v>
      </c>
      <c r="B89" s="196">
        <v>67.5</v>
      </c>
      <c r="C89" s="196">
        <v>94</v>
      </c>
      <c r="D89" s="196">
        <v>78.599999999999994</v>
      </c>
      <c r="E89" s="196">
        <v>74</v>
      </c>
      <c r="F89" s="196">
        <v>74</v>
      </c>
      <c r="G89" s="196">
        <v>72</v>
      </c>
      <c r="H89" s="196">
        <v>73</v>
      </c>
      <c r="I89" s="196">
        <v>56.9</v>
      </c>
      <c r="J89" s="197"/>
      <c r="K89" s="197"/>
      <c r="L89" s="197"/>
      <c r="M89" s="197"/>
      <c r="N89" s="198"/>
      <c r="O89" s="197"/>
      <c r="P89" s="197"/>
      <c r="Q89" s="197"/>
      <c r="R89" s="197"/>
      <c r="S89" s="197"/>
      <c r="T89" s="197"/>
      <c r="U89" s="197"/>
      <c r="V89" s="198"/>
      <c r="W89" s="199">
        <v>82.22</v>
      </c>
      <c r="X89" s="200" t="s">
        <v>249</v>
      </c>
      <c r="Y89" s="23"/>
      <c r="Z89" s="24"/>
      <c r="AA89" s="24"/>
      <c r="AB89" s="24"/>
      <c r="AC89" s="24"/>
      <c r="AD89" s="24"/>
      <c r="AE89" s="24"/>
      <c r="AF89" s="24"/>
      <c r="AG89" s="24"/>
      <c r="AH89" s="24"/>
      <c r="AI89" s="24"/>
      <c r="AJ89" s="24"/>
      <c r="AK89" s="24"/>
      <c r="AL89" s="24"/>
      <c r="AM89" s="24"/>
      <c r="AN89" s="24"/>
      <c r="AO89" s="24"/>
      <c r="AP89" s="24"/>
      <c r="AQ89" s="24"/>
    </row>
    <row r="90" spans="1:44">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row>
    <row r="91" spans="1:44">
      <c r="Y91" s="15"/>
    </row>
    <row r="92" spans="1:44">
      <c r="Y92" s="4"/>
    </row>
    <row r="93" spans="1:44" ht="12.75" customHeight="1">
      <c r="A93" s="22"/>
      <c r="Y93" s="15"/>
    </row>
    <row r="95" spans="1:44">
      <c r="Y95" s="15"/>
    </row>
    <row r="96" spans="1:44">
      <c r="Y96" s="15"/>
    </row>
  </sheetData>
  <mergeCells count="30">
    <mergeCell ref="O86:O88"/>
    <mergeCell ref="V86:V88"/>
    <mergeCell ref="W86:W88"/>
    <mergeCell ref="P86:P88"/>
    <mergeCell ref="Q86:Q88"/>
    <mergeCell ref="R86:R88"/>
    <mergeCell ref="S86:S88"/>
    <mergeCell ref="T86:T88"/>
    <mergeCell ref="U86:U88"/>
    <mergeCell ref="AF6:AG6"/>
    <mergeCell ref="AI6:AQ6"/>
    <mergeCell ref="B86:B88"/>
    <mergeCell ref="C86:C88"/>
    <mergeCell ref="D86:D88"/>
    <mergeCell ref="E86:E88"/>
    <mergeCell ref="F86:F88"/>
    <mergeCell ref="G86:G88"/>
    <mergeCell ref="H86:H88"/>
    <mergeCell ref="I86:I88"/>
    <mergeCell ref="AD6:AE6"/>
    <mergeCell ref="J86:J88"/>
    <mergeCell ref="K86:K88"/>
    <mergeCell ref="L86:L88"/>
    <mergeCell ref="M86:M88"/>
    <mergeCell ref="N86:N88"/>
    <mergeCell ref="D1:E1"/>
    <mergeCell ref="Y1:Y2"/>
    <mergeCell ref="X3:Z4"/>
    <mergeCell ref="A6:X6"/>
    <mergeCell ref="Z6:AC6"/>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516"/>
  <sheetViews>
    <sheetView showGridLines="0" topLeftCell="A1014" zoomScale="70" zoomScaleNormal="70" workbookViewId="0">
      <selection activeCell="H1021" sqref="H1021"/>
    </sheetView>
  </sheetViews>
  <sheetFormatPr defaultColWidth="9.109375" defaultRowHeight="13.2"/>
  <cols>
    <col min="1" max="1" width="9.109375" style="18"/>
    <col min="2" max="2" width="42.5546875" style="18" customWidth="1"/>
    <col min="3" max="6" width="14.44140625" style="18" customWidth="1"/>
    <col min="7" max="7" width="17" style="18" customWidth="1"/>
    <col min="8" max="8" width="16.88671875" style="18" customWidth="1"/>
    <col min="9" max="33" width="14.44140625" style="18" customWidth="1"/>
    <col min="34" max="16384" width="9.109375" style="18"/>
  </cols>
  <sheetData>
    <row r="1" spans="1:51">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row>
    <row r="2" spans="1:51" ht="22.8">
      <c r="A2" s="27" t="s">
        <v>125</v>
      </c>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row>
    <row r="3" spans="1:51">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row>
    <row r="4" spans="1:51">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row>
    <row r="5" spans="1:51">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row>
    <row r="6" spans="1:51">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row>
    <row r="8" spans="1:51">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row>
    <row r="9" spans="1:51">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row>
    <row r="10" spans="1:51">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row>
    <row r="11" spans="1:51">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row>
    <row r="12" spans="1:51">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row>
    <row r="13" spans="1:51">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row>
    <row r="14" spans="1:51">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row>
    <row r="15" spans="1:51">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row>
    <row r="16" spans="1:51">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row>
    <row r="17" spans="2:51">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row>
    <row r="18" spans="2:51">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row>
    <row r="19" spans="2:51">
      <c r="B19" s="28"/>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row>
    <row r="20" spans="2:51">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row>
    <row r="21" spans="2:51">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row>
    <row r="22" spans="2:51">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row>
    <row r="23" spans="2:51">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2:51">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row>
    <row r="25" spans="2:51">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row>
    <row r="26" spans="2:51">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row>
    <row r="27" spans="2:51">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row>
    <row r="28" spans="2:51">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row>
    <row r="29" spans="2:51">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row>
    <row r="30" spans="2:51">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row>
    <row r="31" spans="2:51">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row>
    <row r="32" spans="2:51">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row>
    <row r="33" spans="2:51">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row>
    <row r="34" spans="2:51">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row>
    <row r="35" spans="2:51">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row>
    <row r="36" spans="2:51">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row>
    <row r="37" spans="2:51">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row>
    <row r="38" spans="2:51">
      <c r="B38" s="28"/>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row>
    <row r="39" spans="2:51">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row>
    <row r="40" spans="2:51">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row>
    <row r="41" spans="2:51">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row>
    <row r="42" spans="2:51">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row>
    <row r="43" spans="2:51">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row>
    <row r="44" spans="2:51">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row>
    <row r="45" spans="2:51">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row>
    <row r="46" spans="2:51">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row>
    <row r="47" spans="2:51">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row>
    <row r="48" spans="2:51">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row>
    <row r="49" spans="1:51">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row>
    <row r="50" spans="1:51">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row>
    <row r="51" spans="1:51" ht="33.75" customHeight="1">
      <c r="A51" s="26"/>
      <c r="B51" s="29" t="s">
        <v>126</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row>
    <row r="52" spans="1:51">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row>
    <row r="53" spans="1:51">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row>
    <row r="54" spans="1:51">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row>
    <row r="55" spans="1:51">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row>
    <row r="56" spans="1:51">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row>
    <row r="57" spans="1:51">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row>
    <row r="58" spans="1:51">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row>
    <row r="59" spans="1:51">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row>
    <row r="60" spans="1:51">
      <c r="B60" s="14"/>
      <c r="C60" s="30">
        <v>2018</v>
      </c>
      <c r="D60" s="30" t="s">
        <v>223</v>
      </c>
      <c r="E60" s="30" t="s">
        <v>224</v>
      </c>
      <c r="F60" s="349" t="s">
        <v>279</v>
      </c>
      <c r="G60" s="349" t="s">
        <v>283</v>
      </c>
      <c r="H60" s="31"/>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row>
    <row r="61" spans="1:51" ht="15.6">
      <c r="B61" s="32" t="s">
        <v>208</v>
      </c>
      <c r="C61" s="33">
        <f>'2018'!$Z$83</f>
        <v>49.24766476933678</v>
      </c>
      <c r="D61" s="33">
        <f>'BAU2030'!$Z$83</f>
        <v>53.294607302499983</v>
      </c>
      <c r="E61" s="33">
        <f>'BAU2050'!$Z$83</f>
        <v>62.49792485328728</v>
      </c>
      <c r="F61" s="33" t="e">
        <f>#REF!</f>
        <v>#REF!</v>
      </c>
      <c r="G61" s="33" t="e">
        <f>#REF!</f>
        <v>#REF!</v>
      </c>
      <c r="H61" s="277"/>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row>
    <row r="62" spans="1:51" ht="15.6">
      <c r="B62" s="32" t="s">
        <v>209</v>
      </c>
      <c r="C62" s="33">
        <f>'2018'!$Z$84</f>
        <v>49.936403140062268</v>
      </c>
      <c r="D62" s="33">
        <f>'BAU2030'!$Z$84</f>
        <v>63.979769772004168</v>
      </c>
      <c r="E62" s="33">
        <f>'BAU2050'!$Z$84</f>
        <v>68.08880245060098</v>
      </c>
      <c r="F62" s="33" t="e">
        <f>#REF!</f>
        <v>#REF!</v>
      </c>
      <c r="G62" s="33" t="e">
        <f>#REF!</f>
        <v>#REF!</v>
      </c>
      <c r="H62" s="277"/>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row>
    <row r="63" spans="1:51">
      <c r="B63" s="34"/>
      <c r="C63" s="35"/>
      <c r="D63" s="35"/>
      <c r="H63" s="35"/>
      <c r="I63" s="35"/>
      <c r="J63" s="35"/>
      <c r="K63" s="35"/>
      <c r="M63" s="34"/>
      <c r="N63" s="35"/>
      <c r="O63" s="35"/>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row>
    <row r="64" spans="1:51">
      <c r="B64" s="34"/>
      <c r="C64" s="35"/>
      <c r="D64" s="35"/>
      <c r="M64" s="34"/>
      <c r="N64" s="35"/>
      <c r="O64" s="35"/>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row>
    <row r="65" spans="2:51">
      <c r="B65" s="34"/>
      <c r="C65" s="35"/>
      <c r="D65" s="35"/>
      <c r="M65" s="34"/>
      <c r="N65" s="35"/>
      <c r="O65" s="35"/>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row>
    <row r="66" spans="2:51">
      <c r="B66" s="34"/>
      <c r="C66" s="35"/>
      <c r="D66" s="35"/>
      <c r="M66" s="34"/>
      <c r="N66" s="35"/>
      <c r="O66" s="35"/>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row>
    <row r="67" spans="2:51">
      <c r="B67" s="34"/>
      <c r="C67" s="35"/>
      <c r="D67" s="35"/>
      <c r="M67" s="34"/>
      <c r="N67" s="35"/>
      <c r="O67" s="35"/>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row>
    <row r="68" spans="2:51">
      <c r="B68" s="34"/>
      <c r="C68" s="35"/>
      <c r="D68" s="35"/>
      <c r="M68" s="34"/>
      <c r="N68" s="35"/>
      <c r="O68" s="35"/>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row>
    <row r="69" spans="2:51">
      <c r="B69" s="34"/>
      <c r="C69" s="35"/>
      <c r="D69" s="35"/>
      <c r="M69" s="34"/>
      <c r="N69" s="35"/>
      <c r="O69" s="35"/>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row>
    <row r="70" spans="2:51">
      <c r="B70" s="34"/>
      <c r="C70" s="35"/>
      <c r="D70" s="35"/>
      <c r="M70" s="34"/>
      <c r="N70" s="35"/>
      <c r="O70" s="35"/>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row>
    <row r="71" spans="2:51">
      <c r="B71" s="34"/>
      <c r="C71" s="35"/>
      <c r="D71" s="35"/>
      <c r="M71" s="34"/>
      <c r="N71" s="35"/>
      <c r="O71" s="35"/>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row>
    <row r="72" spans="2:51">
      <c r="B72" s="34"/>
      <c r="C72" s="35"/>
      <c r="D72" s="35"/>
      <c r="M72" s="34"/>
      <c r="N72" s="35"/>
      <c r="O72" s="35"/>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row>
    <row r="73" spans="2:51">
      <c r="B73" s="34"/>
      <c r="C73" s="35"/>
      <c r="D73" s="35"/>
      <c r="M73" s="34"/>
      <c r="N73" s="35"/>
      <c r="O73" s="35"/>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row>
    <row r="74" spans="2:51">
      <c r="B74" s="34"/>
      <c r="C74" s="35"/>
      <c r="D74" s="35"/>
      <c r="M74" s="34"/>
      <c r="N74" s="35"/>
      <c r="O74" s="35"/>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row>
    <row r="75" spans="2:51">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row>
    <row r="76" spans="2:51">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row>
    <row r="77" spans="2:51">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row>
    <row r="78" spans="2:51">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row>
    <row r="79" spans="2:51">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row>
    <row r="80" spans="2:51">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row>
    <row r="81" spans="1:51">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row>
    <row r="82" spans="1:51">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row>
    <row r="83" spans="1:51">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row>
    <row r="84" spans="1:51">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row>
    <row r="85" spans="1:51">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row>
    <row r="86" spans="1:51">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row>
    <row r="87" spans="1:51">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row>
    <row r="88" spans="1:51">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row>
    <row r="89" spans="1:51">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row>
    <row r="90" spans="1:51" ht="33.75" customHeight="1">
      <c r="A90" s="26"/>
      <c r="B90" s="29" t="s">
        <v>127</v>
      </c>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row>
    <row r="91" spans="1:51">
      <c r="G91" s="1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row>
    <row r="92" spans="1:51">
      <c r="G92" s="1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row>
    <row r="93" spans="1:51">
      <c r="G93" s="1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row>
    <row r="94" spans="1:51">
      <c r="G94" s="1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row>
    <row r="95" spans="1:51">
      <c r="G95" s="1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row>
    <row r="96" spans="1:51">
      <c r="G96" s="1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row>
    <row r="97" spans="1:51">
      <c r="F97" s="35"/>
      <c r="G97" s="85"/>
      <c r="H97" s="35"/>
      <c r="I97" s="35"/>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row>
    <row r="98" spans="1:51">
      <c r="F98" s="35"/>
      <c r="G98" s="85"/>
      <c r="H98" s="85"/>
      <c r="I98" s="35"/>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row>
    <row r="99" spans="1:51">
      <c r="F99" s="35"/>
      <c r="G99" s="85"/>
      <c r="H99" s="35"/>
      <c r="I99" s="35"/>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row>
    <row r="100" spans="1:51">
      <c r="B100" s="36" t="s">
        <v>128</v>
      </c>
      <c r="C100" s="37" t="s">
        <v>129</v>
      </c>
      <c r="D100" s="37" t="s">
        <v>129</v>
      </c>
      <c r="E100" s="37" t="s">
        <v>129</v>
      </c>
      <c r="F100" s="37" t="s">
        <v>129</v>
      </c>
      <c r="G100" s="37" t="s">
        <v>129</v>
      </c>
      <c r="H100" s="278"/>
      <c r="I100" s="278"/>
      <c r="J100" s="16"/>
      <c r="L100" s="16"/>
      <c r="S100" s="38"/>
      <c r="T100" s="38"/>
      <c r="U100" s="38"/>
      <c r="V100" s="38"/>
      <c r="W100" s="38"/>
      <c r="X100" s="38"/>
      <c r="Y100" s="38"/>
      <c r="Z100" s="38"/>
      <c r="AA100" s="38"/>
      <c r="AB100" s="26"/>
      <c r="AC100" s="26"/>
      <c r="AD100" s="26"/>
      <c r="AE100" s="26"/>
      <c r="AF100" s="26"/>
      <c r="AG100" s="26"/>
      <c r="AH100" s="26"/>
      <c r="AI100" s="26"/>
      <c r="AJ100" s="26"/>
      <c r="AK100" s="26"/>
      <c r="AL100" s="26"/>
      <c r="AM100" s="26"/>
      <c r="AN100" s="26"/>
      <c r="AO100" s="26"/>
      <c r="AP100" s="26"/>
      <c r="AQ100" s="26"/>
      <c r="AR100" s="26"/>
      <c r="AS100" s="26"/>
      <c r="AT100" s="26"/>
      <c r="AU100" s="26"/>
      <c r="AV100" s="26"/>
    </row>
    <row r="101" spans="1:51">
      <c r="B101" s="14"/>
      <c r="C101" s="30">
        <v>2018</v>
      </c>
      <c r="D101" s="30" t="s">
        <v>223</v>
      </c>
      <c r="E101" s="30" t="s">
        <v>224</v>
      </c>
      <c r="F101" s="349" t="s">
        <v>279</v>
      </c>
      <c r="G101" s="349" t="s">
        <v>283</v>
      </c>
      <c r="H101" s="279"/>
      <c r="I101" s="280"/>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row>
    <row r="102" spans="1:51" ht="12.75" customHeight="1">
      <c r="A102" s="456" t="s">
        <v>130</v>
      </c>
      <c r="B102" s="39" t="s">
        <v>131</v>
      </c>
      <c r="C102" s="12">
        <f>'2018'!$A$81*(1-'2018'!$A$87%)</f>
        <v>-73.331285451328</v>
      </c>
      <c r="D102" s="12">
        <f>'BAU2030'!$A$81*(1-'BAU2030'!$A$87%)</f>
        <v>0</v>
      </c>
      <c r="E102" s="12">
        <f>'BAU2050'!$A$81*(1-'BAU2050'!$A$87%)</f>
        <v>0</v>
      </c>
      <c r="F102" s="323" t="e">
        <f>#REF!*(1-#REF!%)</f>
        <v>#REF!</v>
      </c>
      <c r="G102" s="323" t="e">
        <f>#REF!*(1-#REF!%)</f>
        <v>#REF!</v>
      </c>
      <c r="H102" s="281"/>
      <c r="I102" s="281"/>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row>
    <row r="103" spans="1:51" ht="12.75" customHeight="1">
      <c r="A103" s="457"/>
      <c r="B103" s="39" t="s">
        <v>132</v>
      </c>
      <c r="C103" s="12">
        <f>'2018'!$C$81</f>
        <v>9.3000000000000007</v>
      </c>
      <c r="D103" s="12">
        <f>'BAU2030'!$C$81</f>
        <v>8.9280000000000008</v>
      </c>
      <c r="E103" s="12">
        <f>'BAU2050'!$C$81</f>
        <v>8.370000000000001</v>
      </c>
      <c r="F103" s="323" t="e">
        <f>#REF!</f>
        <v>#REF!</v>
      </c>
      <c r="G103" s="323" t="e">
        <f>#REF!</f>
        <v>#REF!</v>
      </c>
      <c r="H103" s="281"/>
      <c r="I103" s="281"/>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row>
    <row r="104" spans="1:51">
      <c r="A104" s="457"/>
      <c r="B104" s="39" t="s">
        <v>133</v>
      </c>
      <c r="C104" s="12">
        <f>'2018'!$I$81+'2018'!$B$81</f>
        <v>1281.4999999999998</v>
      </c>
      <c r="D104" s="12">
        <f>'BAU2030'!$I$81+'BAU2030'!$B$81</f>
        <v>1088.4923199999998</v>
      </c>
      <c r="E104" s="12">
        <f>'BAU2050'!$I$81+'BAU2050'!$B$81</f>
        <v>1084.8837999999998</v>
      </c>
      <c r="F104" s="323" t="e">
        <f>#REF!+#REF!</f>
        <v>#REF!</v>
      </c>
      <c r="G104" s="323" t="e">
        <f>#REF!+#REF!</f>
        <v>#REF!</v>
      </c>
      <c r="H104" s="281"/>
      <c r="I104" s="281"/>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row>
    <row r="105" spans="1:51">
      <c r="A105" s="457"/>
      <c r="B105" s="39" t="s">
        <v>134</v>
      </c>
      <c r="C105" s="12">
        <f>'2018'!$D$81</f>
        <v>0.1</v>
      </c>
      <c r="D105" s="12">
        <f>'BAU2030'!$D$81</f>
        <v>9.5000000000000001E-2</v>
      </c>
      <c r="E105" s="12">
        <f>'BAU2050'!$D$81</f>
        <v>9.5000000000000001E-2</v>
      </c>
      <c r="F105" s="323" t="e">
        <f>#REF!</f>
        <v>#REF!</v>
      </c>
      <c r="G105" s="323" t="e">
        <f>#REF!</f>
        <v>#REF!</v>
      </c>
      <c r="H105" s="281"/>
      <c r="I105" s="281"/>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row>
    <row r="106" spans="1:51">
      <c r="A106" s="457"/>
      <c r="B106" s="39" t="s">
        <v>135</v>
      </c>
      <c r="C106" s="12">
        <f>'2018'!$E$81+'2018'!$F$81</f>
        <v>2041.9823000000001</v>
      </c>
      <c r="D106" s="12">
        <f>'BAU2030'!$E$81+'BAU2030'!$F$81</f>
        <v>1694.640247</v>
      </c>
      <c r="E106" s="12">
        <f>'BAU2050'!$E$81+'BAU2050'!$F$81</f>
        <v>1059.85546</v>
      </c>
      <c r="F106" s="323" t="e">
        <f>#REF!+#REF!</f>
        <v>#REF!</v>
      </c>
      <c r="G106" s="323" t="e">
        <f>#REF!+#REF!</f>
        <v>#REF!</v>
      </c>
      <c r="H106" s="281"/>
      <c r="I106" s="281"/>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row>
    <row r="107" spans="1:51">
      <c r="A107" s="457"/>
      <c r="B107" s="39" t="s">
        <v>136</v>
      </c>
      <c r="C107" s="12">
        <f>'2018'!$G$81</f>
        <v>760.2</v>
      </c>
      <c r="D107" s="12">
        <f>'BAU2030'!$G$81</f>
        <v>813.4140000000001</v>
      </c>
      <c r="E107" s="12">
        <f>'BAU2050'!$G$81</f>
        <v>912.24</v>
      </c>
      <c r="F107" s="323" t="e">
        <f>#REF!</f>
        <v>#REF!</v>
      </c>
      <c r="G107" s="323" t="e">
        <f>#REF!</f>
        <v>#REF!</v>
      </c>
      <c r="H107" s="281"/>
      <c r="I107" s="281"/>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row>
    <row r="108" spans="1:51">
      <c r="A108" s="457"/>
      <c r="B108" s="39" t="s">
        <v>137</v>
      </c>
      <c r="C108" s="12">
        <f>'2018'!$H$81</f>
        <v>996.6413</v>
      </c>
      <c r="D108" s="12">
        <f>'BAU2030'!$H$81</f>
        <v>787.57062700000006</v>
      </c>
      <c r="E108" s="12">
        <f>'BAU2050'!$H$81</f>
        <v>200.12826000000001</v>
      </c>
      <c r="F108" s="323" t="e">
        <f>#REF!</f>
        <v>#REF!</v>
      </c>
      <c r="G108" s="323" t="e">
        <f>#REF!</f>
        <v>#REF!</v>
      </c>
      <c r="H108" s="281"/>
      <c r="I108" s="281"/>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row>
    <row r="109" spans="1:51">
      <c r="A109" s="458"/>
      <c r="B109" s="39" t="s">
        <v>138</v>
      </c>
      <c r="C109" s="12">
        <f>'2018'!$W$81</f>
        <v>0</v>
      </c>
      <c r="D109" s="12">
        <f>'BAU2030'!$W$81</f>
        <v>0</v>
      </c>
      <c r="E109" s="12">
        <f>'BAU2050'!$W$81</f>
        <v>0</v>
      </c>
      <c r="F109" s="323" t="e">
        <f>#REF!</f>
        <v>#REF!</v>
      </c>
      <c r="G109" s="323" t="e">
        <f>#REF!</f>
        <v>#REF!</v>
      </c>
      <c r="H109" s="281"/>
      <c r="I109" s="281"/>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row>
    <row r="110" spans="1:51" ht="12.75" customHeight="1">
      <c r="A110" s="456" t="s">
        <v>139</v>
      </c>
      <c r="B110" s="39" t="s">
        <v>140</v>
      </c>
      <c r="C110" s="12">
        <f>'2018'!$U$81+SUM('2018'!$T$16:$T$25)</f>
        <v>0</v>
      </c>
      <c r="D110" s="12">
        <f>'BAU2030'!$U$81+SUM('BAU2030'!$T$16:$T$25)</f>
        <v>0</v>
      </c>
      <c r="E110" s="12">
        <f>'BAU2050'!$U$81+SUM('BAU2050'!$T$16:$T$25)</f>
        <v>0</v>
      </c>
      <c r="F110" s="323" t="e">
        <f>#REF!+SUM(#REF!)</f>
        <v>#REF!</v>
      </c>
      <c r="G110" s="323" t="e">
        <f>#REF!+SUM(#REF!)</f>
        <v>#REF!</v>
      </c>
      <c r="H110" s="281"/>
      <c r="I110" s="281"/>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row>
    <row r="111" spans="1:51">
      <c r="A111" s="457"/>
      <c r="B111" s="39" t="s">
        <v>141</v>
      </c>
      <c r="C111" s="12">
        <f>'2018'!$P$81+'2018'!$Q$81+'2018'!$R$81+'2018'!$S$81</f>
        <v>3614.7764000000002</v>
      </c>
      <c r="D111" s="12">
        <f>'BAU2030'!$P$81+'BAU2030'!$Q$81+'BAU2030'!$R$81+'BAU2030'!$S$81</f>
        <v>3478.8279200000002</v>
      </c>
      <c r="E111" s="12">
        <f>'BAU2050'!$P$81+'BAU2050'!$Q$81+'BAU2050'!$R$81+'BAU2050'!$S$81</f>
        <v>3221.9262800000006</v>
      </c>
      <c r="F111" s="323" t="e">
        <f>#REF!+#REF!+#REF!+#REF!</f>
        <v>#REF!</v>
      </c>
      <c r="G111" s="323" t="e">
        <f>#REF!+#REF!+#REF!+#REF!</f>
        <v>#REF!</v>
      </c>
      <c r="H111" s="281"/>
      <c r="I111" s="281"/>
      <c r="K111" s="31"/>
      <c r="L111" s="31"/>
      <c r="M111" s="31"/>
      <c r="N111" s="31"/>
      <c r="O111" s="31"/>
      <c r="P111" s="31"/>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row>
    <row r="112" spans="1:51">
      <c r="A112" s="457"/>
      <c r="B112" s="39" t="s">
        <v>142</v>
      </c>
      <c r="C112" s="12">
        <f>'2018'!$J$81</f>
        <v>1209.5999999999999</v>
      </c>
      <c r="D112" s="12">
        <f>'BAU2030'!$J$81</f>
        <v>2195.6</v>
      </c>
      <c r="E112" s="12">
        <f>'BAU2050'!$J$81</f>
        <v>2195.6</v>
      </c>
      <c r="F112" s="323" t="e">
        <f>#REF!</f>
        <v>#REF!</v>
      </c>
      <c r="G112" s="323" t="e">
        <f>#REF!</f>
        <v>#REF!</v>
      </c>
      <c r="H112" s="281"/>
      <c r="I112" s="281"/>
      <c r="K112" s="81"/>
      <c r="L112" s="81"/>
      <c r="M112" s="81"/>
      <c r="N112" s="81"/>
      <c r="O112" s="81"/>
      <c r="P112" s="81"/>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row>
    <row r="113" spans="1:51">
      <c r="A113" s="457"/>
      <c r="B113" s="39" t="s">
        <v>143</v>
      </c>
      <c r="C113" s="12">
        <f>'2018'!$O$81+'2018'!$V$81+SUM('2018'!$T$31:$T$70)</f>
        <v>30.7</v>
      </c>
      <c r="D113" s="12">
        <f>'BAU2030'!$O$81+'BAU2030'!$V$81+SUM('BAU2030'!$T$31:$T$70)</f>
        <v>29.472000000000001</v>
      </c>
      <c r="E113" s="12">
        <f>'BAU2050'!$O$81+'BAU2050'!$V$81+SUM('BAU2050'!$T$31:$T$70)</f>
        <v>27.630000000000003</v>
      </c>
      <c r="F113" s="323" t="e">
        <f>#REF!+#REF!+SUM(#REF!)</f>
        <v>#REF!</v>
      </c>
      <c r="G113" s="323" t="e">
        <f>#REF!+#REF!+SUM(#REF!)</f>
        <v>#REF!</v>
      </c>
      <c r="H113" s="281"/>
      <c r="I113" s="281"/>
      <c r="K113" s="81"/>
      <c r="L113" s="81"/>
      <c r="M113" s="81"/>
      <c r="N113" s="81"/>
      <c r="O113" s="81"/>
      <c r="P113" s="81"/>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row>
    <row r="114" spans="1:51">
      <c r="A114" s="457"/>
      <c r="B114" s="39" t="s">
        <v>144</v>
      </c>
      <c r="C114" s="12">
        <f>'2018'!$L$81</f>
        <v>73.099999999999994</v>
      </c>
      <c r="D114" s="12">
        <f>'BAU2030'!$L$81</f>
        <v>237.26000000000002</v>
      </c>
      <c r="E114" s="12">
        <f>'BAU2050'!$L$81</f>
        <v>237.26000000000002</v>
      </c>
      <c r="F114" s="323" t="e">
        <f>#REF!</f>
        <v>#REF!</v>
      </c>
      <c r="G114" s="323" t="e">
        <f>#REF!</f>
        <v>#REF!</v>
      </c>
      <c r="H114" s="281"/>
      <c r="I114" s="281"/>
      <c r="S114" s="40"/>
      <c r="T114" s="40"/>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row>
    <row r="115" spans="1:51">
      <c r="A115" s="457"/>
      <c r="B115" s="39" t="s">
        <v>145</v>
      </c>
      <c r="C115" s="12">
        <f>'2018'!$K$81+'2018'!$M$81+'2018'!$N$81</f>
        <v>18</v>
      </c>
      <c r="D115" s="12">
        <f>'BAU2030'!$K$81+'BAU2030'!$M$81+'BAU2030'!$N$81</f>
        <v>105.99333333333333</v>
      </c>
      <c r="E115" s="12">
        <f>'BAU2050'!$K$81+'BAU2050'!$M$81+'BAU2050'!$N$81</f>
        <v>273</v>
      </c>
      <c r="F115" s="323" t="e">
        <f>#REF!+#REF!+#REF!</f>
        <v>#REF!</v>
      </c>
      <c r="G115" s="323" t="e">
        <f>#REF!+#REF!+#REF!</f>
        <v>#REF!</v>
      </c>
      <c r="H115" s="281"/>
      <c r="I115" s="281"/>
      <c r="K115" s="244"/>
      <c r="L115" s="244"/>
      <c r="M115" s="244"/>
      <c r="N115" s="244"/>
      <c r="O115" s="244"/>
      <c r="P115" s="244"/>
      <c r="S115" s="40"/>
      <c r="T115" s="40"/>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row>
    <row r="116" spans="1:51">
      <c r="A116" s="458"/>
      <c r="B116" s="39" t="s">
        <v>146</v>
      </c>
      <c r="C116" s="12">
        <f>'2018'!$A$81*'2018'!$A$87%</f>
        <v>-57.61743856890056</v>
      </c>
      <c r="D116" s="12">
        <f>'BAU2030'!$A$81*'BAU2030'!$A$87%</f>
        <v>-988.62884322060302</v>
      </c>
      <c r="E116" s="12">
        <f>'BAU2050'!$A$81*'BAU2050'!$A$87%</f>
        <v>-474.44595351550436</v>
      </c>
      <c r="F116" s="323" t="e">
        <f>#REF!*#REF!%</f>
        <v>#REF!</v>
      </c>
      <c r="G116" s="323" t="e">
        <f>#REF!*#REF!%</f>
        <v>#REF!</v>
      </c>
      <c r="H116" s="281"/>
      <c r="I116" s="281"/>
      <c r="S116" s="41"/>
      <c r="T116" s="40"/>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row>
    <row r="117" spans="1:51" ht="13.8" thickBot="1">
      <c r="B117" s="42" t="s">
        <v>147</v>
      </c>
      <c r="C117" s="43">
        <f>SUM(C102:C116)</f>
        <v>9904.9512759797726</v>
      </c>
      <c r="D117" s="43">
        <f>SUM(D102:D116)</f>
        <v>9451.6646041127296</v>
      </c>
      <c r="E117" s="43">
        <f>SUM(E102:E116)</f>
        <v>8746.5428464844954</v>
      </c>
      <c r="F117" s="43" t="e">
        <f t="shared" ref="F117:G117" si="0">SUM(F102:F116)</f>
        <v>#REF!</v>
      </c>
      <c r="G117" s="43" t="e">
        <f t="shared" si="0"/>
        <v>#REF!</v>
      </c>
      <c r="H117" s="282"/>
      <c r="I117" s="282"/>
      <c r="S117" s="41"/>
      <c r="T117" s="40"/>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row>
    <row r="118" spans="1:51">
      <c r="B118" s="44" t="s">
        <v>148</v>
      </c>
      <c r="C118" s="13">
        <f>SUM(C102:C109)</f>
        <v>5016.3923145486724</v>
      </c>
      <c r="D118" s="13">
        <f>SUM(D102:D109)</f>
        <v>4393.1401939999996</v>
      </c>
      <c r="E118" s="13">
        <f>SUM(E102:E109)</f>
        <v>3265.5725199999993</v>
      </c>
      <c r="F118" s="325" t="e">
        <f t="shared" ref="F118:G118" si="1">SUM(F102:F109)</f>
        <v>#REF!</v>
      </c>
      <c r="G118" s="325" t="e">
        <f t="shared" si="1"/>
        <v>#REF!</v>
      </c>
      <c r="H118" s="281"/>
      <c r="I118" s="283"/>
      <c r="J118" s="16"/>
      <c r="L118" s="16"/>
      <c r="S118" s="45"/>
      <c r="T118" s="40"/>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row>
    <row r="119" spans="1:51">
      <c r="B119" s="32" t="s">
        <v>149</v>
      </c>
      <c r="C119" s="12">
        <f>SUM(C110:C116)</f>
        <v>4888.5589614310993</v>
      </c>
      <c r="D119" s="12">
        <f>SUM(D110:D116)</f>
        <v>5058.52441011273</v>
      </c>
      <c r="E119" s="12">
        <f>SUM(E110:E116)</f>
        <v>5480.9703264844957</v>
      </c>
      <c r="F119" s="323" t="e">
        <f t="shared" ref="F119:G119" si="2">SUM(F110:F116)</f>
        <v>#REF!</v>
      </c>
      <c r="G119" s="323" t="e">
        <f t="shared" si="2"/>
        <v>#REF!</v>
      </c>
      <c r="H119" s="281"/>
      <c r="I119" s="283"/>
      <c r="S119" s="45"/>
      <c r="T119" s="40"/>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row>
    <row r="120" spans="1:51">
      <c r="B120" s="34" t="s">
        <v>245</v>
      </c>
      <c r="C120" s="46">
        <f>C111</f>
        <v>3614.7764000000002</v>
      </c>
      <c r="D120" s="46">
        <f>D111</f>
        <v>3478.8279200000002</v>
      </c>
      <c r="E120" s="46">
        <f>E111</f>
        <v>3221.9262800000006</v>
      </c>
      <c r="F120" s="352" t="e">
        <f t="shared" ref="F120:G120" si="3">F111</f>
        <v>#REF!</v>
      </c>
      <c r="G120" s="352" t="e">
        <f t="shared" si="3"/>
        <v>#REF!</v>
      </c>
      <c r="H120" s="46"/>
      <c r="I120" s="35"/>
      <c r="S120" s="45"/>
      <c r="T120" s="40"/>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row>
    <row r="121" spans="1:51">
      <c r="B121" s="34" t="s">
        <v>143</v>
      </c>
      <c r="C121" s="46">
        <f>C113</f>
        <v>30.7</v>
      </c>
      <c r="D121" s="46">
        <f>D113</f>
        <v>29.472000000000001</v>
      </c>
      <c r="E121" s="46">
        <f>E113</f>
        <v>27.630000000000003</v>
      </c>
      <c r="F121" s="352" t="e">
        <f t="shared" ref="F121:G121" si="4">F113</f>
        <v>#REF!</v>
      </c>
      <c r="G121" s="352" t="e">
        <f t="shared" si="4"/>
        <v>#REF!</v>
      </c>
      <c r="H121" s="46"/>
      <c r="I121" s="35"/>
      <c r="S121" s="45"/>
      <c r="T121" s="40"/>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row>
    <row r="122" spans="1:51">
      <c r="B122" s="34" t="s">
        <v>243</v>
      </c>
      <c r="C122" s="46">
        <f>C109+C110</f>
        <v>0</v>
      </c>
      <c r="D122" s="46">
        <f>D109+D110</f>
        <v>0</v>
      </c>
      <c r="E122" s="46">
        <f>E109+E110</f>
        <v>0</v>
      </c>
      <c r="F122" s="352" t="e">
        <f t="shared" ref="F122:G122" si="5">F109+F110</f>
        <v>#REF!</v>
      </c>
      <c r="G122" s="352" t="e">
        <f t="shared" si="5"/>
        <v>#REF!</v>
      </c>
      <c r="H122" s="46"/>
      <c r="I122" s="35"/>
      <c r="S122" s="45"/>
      <c r="T122" s="40"/>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row>
    <row r="123" spans="1:51">
      <c r="B123" s="34" t="s">
        <v>244</v>
      </c>
      <c r="C123" s="46">
        <f>SUM(C103:C108)</f>
        <v>5089.7236000000003</v>
      </c>
      <c r="D123" s="46">
        <f>SUM(D103:D108)</f>
        <v>4393.1401939999996</v>
      </c>
      <c r="E123" s="46">
        <f>SUM(E103:E108)</f>
        <v>3265.5725199999993</v>
      </c>
      <c r="F123" s="352" t="e">
        <f>SUM(F103:F108)</f>
        <v>#REF!</v>
      </c>
      <c r="G123" s="352" t="e">
        <f t="shared" ref="G123" si="6">SUM(G103:G108)</f>
        <v>#REF!</v>
      </c>
      <c r="H123" s="46"/>
      <c r="S123" s="26"/>
      <c r="T123" s="26"/>
      <c r="U123" s="40"/>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row>
    <row r="124" spans="1:51">
      <c r="B124" s="34" t="s">
        <v>177</v>
      </c>
      <c r="C124" s="46">
        <f>C102+C116+C115+C112+C114</f>
        <v>1169.7512759797712</v>
      </c>
      <c r="D124" s="46">
        <f>D102+D116+D115+D112+D114</f>
        <v>1550.2244901127303</v>
      </c>
      <c r="E124" s="46">
        <f>E102+E116+E115+E112+E114</f>
        <v>2231.4140464844959</v>
      </c>
      <c r="F124" s="352" t="e">
        <f t="shared" ref="F124:G124" si="7">F102+F116+F115+F112+F114</f>
        <v>#REF!</v>
      </c>
      <c r="G124" s="352" t="e">
        <f t="shared" si="7"/>
        <v>#REF!</v>
      </c>
      <c r="H124" s="46"/>
      <c r="S124" s="26"/>
      <c r="T124" s="26"/>
      <c r="U124" s="40"/>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row>
    <row r="125" spans="1:51">
      <c r="C125" s="92">
        <f>(C112+C114)/C124*100</f>
        <v>109.65578976826711</v>
      </c>
      <c r="D125" s="92">
        <f>(D112+D114)/D124*100</f>
        <v>156.93598027361094</v>
      </c>
      <c r="E125" s="92">
        <f>(E112+E114)/E124*100</f>
        <v>109.02772633491639</v>
      </c>
      <c r="F125" s="92" t="e">
        <f t="shared" ref="F125:G125" si="8">(F112+F114)/F124*100</f>
        <v>#REF!</v>
      </c>
      <c r="G125" s="92" t="e">
        <f t="shared" si="8"/>
        <v>#REF!</v>
      </c>
      <c r="H125" s="92"/>
      <c r="I125" s="91"/>
      <c r="J125" s="91"/>
      <c r="S125" s="26"/>
      <c r="T125" s="26"/>
      <c r="U125" s="40"/>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row>
    <row r="126" spans="1:51">
      <c r="B126" s="31" t="s">
        <v>128</v>
      </c>
      <c r="C126" s="91">
        <f>C112/C124*100</f>
        <v>103.40659803827543</v>
      </c>
      <c r="D126" s="91">
        <f>D112/D124*100</f>
        <v>141.63110014087951</v>
      </c>
      <c r="E126" s="91">
        <f>E112/E124*100</f>
        <v>98.39500667565845</v>
      </c>
      <c r="F126" s="91" t="e">
        <f t="shared" ref="F126:G126" si="9">F112/F124*100</f>
        <v>#REF!</v>
      </c>
      <c r="G126" s="91" t="e">
        <f t="shared" si="9"/>
        <v>#REF!</v>
      </c>
      <c r="H126" s="91"/>
      <c r="I126" s="91"/>
      <c r="J126" s="91"/>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row>
    <row r="127" spans="1:51">
      <c r="C127" s="91">
        <f>C114/C124*100</f>
        <v>6.2491917299916784</v>
      </c>
      <c r="D127" s="91">
        <f>D114/D124*100</f>
        <v>15.304880132731407</v>
      </c>
      <c r="E127" s="91">
        <f>E114/E124*100</f>
        <v>10.632719659257935</v>
      </c>
      <c r="F127" s="91" t="e">
        <f t="shared" ref="F127:G127" si="10">F114/F124*100</f>
        <v>#REF!</v>
      </c>
      <c r="G127" s="91" t="e">
        <f t="shared" si="10"/>
        <v>#REF!</v>
      </c>
      <c r="H127" s="91"/>
      <c r="I127" s="91"/>
      <c r="J127" s="91"/>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row>
    <row r="128" spans="1:51">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row>
    <row r="129" spans="10:51">
      <c r="J129" s="6"/>
      <c r="K129" s="6"/>
      <c r="L129" s="6"/>
      <c r="M129" s="6"/>
      <c r="N129" s="6"/>
      <c r="O129" s="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row>
    <row r="130" spans="10:51">
      <c r="J130" s="6"/>
      <c r="K130" s="6"/>
      <c r="L130" s="6"/>
      <c r="M130" s="6"/>
      <c r="N130" s="6"/>
      <c r="O130" s="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row>
    <row r="131" spans="10:51">
      <c r="J131" s="6"/>
      <c r="K131" s="6"/>
      <c r="L131" s="6"/>
      <c r="M131" s="6"/>
      <c r="N131" s="6"/>
      <c r="O131" s="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row>
    <row r="132" spans="10:51">
      <c r="J132" s="6"/>
      <c r="K132" s="6"/>
      <c r="L132" s="6"/>
      <c r="M132" s="6"/>
      <c r="N132" s="6"/>
      <c r="O132" s="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row>
    <row r="133" spans="10:51">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row>
    <row r="134" spans="10:51">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row>
    <row r="135" spans="10:51">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row>
    <row r="136" spans="10:51">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row>
    <row r="137" spans="10:51">
      <c r="J137" s="6"/>
      <c r="K137" s="6"/>
      <c r="L137" s="6"/>
      <c r="M137" s="6"/>
      <c r="N137" s="6"/>
      <c r="O137" s="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row>
    <row r="138" spans="10:51">
      <c r="J138" s="6"/>
      <c r="K138" s="6"/>
      <c r="L138" s="6"/>
      <c r="M138" s="6"/>
      <c r="N138" s="6"/>
      <c r="O138" s="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row>
    <row r="139" spans="10:51">
      <c r="J139" s="6"/>
      <c r="K139" s="6"/>
      <c r="L139" s="6"/>
      <c r="M139" s="6"/>
      <c r="N139" s="6"/>
      <c r="O139" s="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row>
    <row r="140" spans="10:51">
      <c r="J140" s="6"/>
      <c r="K140" s="6"/>
      <c r="L140" s="6"/>
      <c r="M140" s="6"/>
      <c r="N140" s="6"/>
      <c r="O140" s="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row>
    <row r="141" spans="10:51">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row>
    <row r="142" spans="10:51">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row>
    <row r="143" spans="10:51">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row>
    <row r="144" spans="10:51">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row>
    <row r="145" spans="2:51">
      <c r="J145" s="6"/>
      <c r="K145" s="6"/>
      <c r="L145" s="6"/>
      <c r="M145" s="6"/>
      <c r="N145" s="6"/>
      <c r="O145" s="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row>
    <row r="146" spans="2:51">
      <c r="J146" s="6"/>
      <c r="K146" s="6"/>
      <c r="L146" s="6"/>
      <c r="M146" s="6"/>
      <c r="N146" s="6"/>
      <c r="O146" s="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row>
    <row r="147" spans="2:51">
      <c r="J147" s="6"/>
      <c r="K147" s="6"/>
      <c r="L147" s="6"/>
      <c r="M147" s="6"/>
      <c r="N147" s="6"/>
      <c r="O147" s="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row>
    <row r="148" spans="2:51">
      <c r="J148" s="6"/>
      <c r="K148" s="6"/>
      <c r="L148" s="6"/>
      <c r="M148" s="6"/>
      <c r="N148" s="6"/>
      <c r="O148" s="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row>
    <row r="149" spans="2:51">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row>
    <row r="150" spans="2:51">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row>
    <row r="151" spans="2:51">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row>
    <row r="152" spans="2:51">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row>
    <row r="153" spans="2:51">
      <c r="J153" s="6"/>
      <c r="K153" s="6"/>
      <c r="L153" s="6"/>
      <c r="M153" s="6"/>
      <c r="N153" s="6"/>
      <c r="O153" s="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row>
    <row r="154" spans="2:51">
      <c r="J154" s="6"/>
      <c r="K154" s="6"/>
      <c r="L154" s="6"/>
      <c r="M154" s="6"/>
      <c r="N154" s="6"/>
      <c r="O154" s="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row>
    <row r="155" spans="2:51">
      <c r="B155" s="31" t="s">
        <v>235</v>
      </c>
      <c r="C155" s="49"/>
      <c r="D155" s="49"/>
      <c r="E155" s="49"/>
      <c r="F155" s="49"/>
      <c r="J155" s="6"/>
      <c r="K155" s="6"/>
      <c r="L155" s="6"/>
      <c r="M155" s="6"/>
      <c r="N155" s="6"/>
      <c r="O155" s="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row>
    <row r="156" spans="2:51">
      <c r="B156" s="31"/>
      <c r="C156" s="49"/>
      <c r="D156" s="49"/>
      <c r="E156" s="49"/>
      <c r="F156" s="49"/>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row>
    <row r="157" spans="2:51">
      <c r="B157" s="31"/>
      <c r="C157" s="49"/>
      <c r="D157" s="49"/>
      <c r="E157" s="49"/>
      <c r="F157" s="49"/>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row>
    <row r="158" spans="2:51">
      <c r="B158" s="31"/>
      <c r="C158" s="47"/>
      <c r="D158" s="47"/>
      <c r="E158" s="48"/>
      <c r="F158" s="48"/>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row>
    <row r="159" spans="2:51">
      <c r="B159" s="31"/>
      <c r="C159" s="47"/>
      <c r="D159" s="47"/>
      <c r="E159" s="48"/>
      <c r="F159" s="48"/>
      <c r="N159" s="6"/>
      <c r="O159" s="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row>
    <row r="160" spans="2:51">
      <c r="B160" s="31"/>
      <c r="C160" s="49"/>
      <c r="D160" s="49"/>
      <c r="E160" s="49"/>
      <c r="F160" s="49"/>
      <c r="N160" s="6"/>
      <c r="O160" s="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row>
    <row r="161" spans="2:51">
      <c r="B161" s="31"/>
      <c r="C161" s="49"/>
      <c r="D161" s="49"/>
      <c r="E161" s="49"/>
      <c r="F161" s="49"/>
      <c r="N161" s="6"/>
      <c r="O161" s="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row>
    <row r="162" spans="2:51">
      <c r="B162" s="31"/>
      <c r="C162" s="50"/>
      <c r="D162" s="50"/>
      <c r="N162" s="6"/>
      <c r="O162" s="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row>
    <row r="163" spans="2:51">
      <c r="B163" s="31"/>
      <c r="C163" s="50"/>
      <c r="D163" s="50"/>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row>
    <row r="164" spans="2:51">
      <c r="B164" s="31"/>
      <c r="C164" s="50"/>
      <c r="D164" s="50"/>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row>
    <row r="165" spans="2:51">
      <c r="B165" s="31"/>
      <c r="C165" s="50"/>
      <c r="D165" s="50"/>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row>
    <row r="166" spans="2:51">
      <c r="B166" s="31"/>
      <c r="C166" s="50"/>
      <c r="D166" s="50"/>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row>
    <row r="167" spans="2:51">
      <c r="B167" s="31"/>
      <c r="C167" s="50"/>
      <c r="D167" s="50"/>
      <c r="N167" s="6"/>
      <c r="O167" s="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row>
    <row r="168" spans="2:51">
      <c r="B168" s="31"/>
      <c r="C168" s="50"/>
      <c r="D168" s="50"/>
      <c r="N168" s="6"/>
      <c r="O168" s="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row>
    <row r="169" spans="2:51">
      <c r="B169" s="31"/>
      <c r="C169" s="50"/>
      <c r="D169" s="50"/>
      <c r="N169" s="6"/>
      <c r="O169" s="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row>
    <row r="170" spans="2:51">
      <c r="B170" s="31"/>
      <c r="C170" s="50"/>
      <c r="D170" s="50"/>
      <c r="N170" s="6"/>
      <c r="O170" s="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row>
    <row r="171" spans="2:51">
      <c r="B171" s="31"/>
      <c r="C171" s="50"/>
      <c r="D171" s="50"/>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row>
    <row r="172" spans="2:51">
      <c r="B172" s="31"/>
      <c r="C172" s="50"/>
      <c r="D172" s="50"/>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row>
    <row r="173" spans="2:51">
      <c r="B173" s="31"/>
      <c r="C173" s="50"/>
      <c r="D173" s="50"/>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row>
    <row r="174" spans="2:51">
      <c r="B174" s="31"/>
      <c r="C174" s="50"/>
      <c r="D174" s="50"/>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row>
    <row r="175" spans="2:51">
      <c r="B175" s="31"/>
      <c r="C175" s="50"/>
      <c r="D175" s="50"/>
      <c r="N175" s="6"/>
      <c r="O175" s="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row>
    <row r="176" spans="2:51">
      <c r="B176" s="31"/>
      <c r="C176" s="50"/>
      <c r="D176" s="50"/>
      <c r="N176" s="6"/>
      <c r="O176" s="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row>
    <row r="177" spans="2:51">
      <c r="B177" s="31"/>
      <c r="C177" s="50"/>
      <c r="D177" s="50"/>
      <c r="N177" s="6"/>
      <c r="O177" s="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row>
    <row r="178" spans="2:51">
      <c r="B178" s="31"/>
      <c r="C178" s="50"/>
      <c r="D178" s="50"/>
      <c r="N178" s="6"/>
      <c r="O178" s="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row>
    <row r="179" spans="2:51">
      <c r="B179" s="31"/>
      <c r="C179" s="50"/>
      <c r="D179" s="50"/>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row>
    <row r="180" spans="2:51">
      <c r="C180" s="50"/>
      <c r="D180" s="50"/>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row>
    <row r="181" spans="2:51">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row>
    <row r="182" spans="2:51">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row>
    <row r="183" spans="2:51">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row>
    <row r="184" spans="2:51">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row>
    <row r="185" spans="2:51">
      <c r="B185" s="31" t="s">
        <v>236</v>
      </c>
      <c r="C185" s="47"/>
      <c r="D185" s="47"/>
      <c r="E185" s="48"/>
      <c r="F185" s="48"/>
      <c r="N185" s="6"/>
      <c r="O185" s="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row>
    <row r="186" spans="2:51">
      <c r="B186" s="31"/>
      <c r="C186" s="47"/>
      <c r="D186" s="47"/>
      <c r="E186" s="48"/>
      <c r="F186" s="48"/>
      <c r="N186" s="6"/>
      <c r="O186" s="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row>
    <row r="187" spans="2:51">
      <c r="B187" s="31"/>
      <c r="C187" s="47"/>
      <c r="D187" s="47"/>
      <c r="E187" s="48"/>
      <c r="F187" s="48"/>
      <c r="N187" s="6"/>
      <c r="O187" s="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row>
    <row r="188" spans="2:51">
      <c r="B188" s="31"/>
      <c r="C188" s="49"/>
      <c r="D188" s="49"/>
      <c r="E188" s="49"/>
      <c r="F188" s="49"/>
      <c r="N188" s="6"/>
      <c r="O188" s="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row>
    <row r="189" spans="2:51">
      <c r="B189" s="31"/>
      <c r="C189" s="49"/>
      <c r="D189" s="49"/>
      <c r="E189" s="49"/>
      <c r="F189" s="49"/>
      <c r="N189" s="6"/>
      <c r="O189" s="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row>
    <row r="190" spans="2:51">
      <c r="B190" s="31"/>
      <c r="C190" s="49"/>
      <c r="D190" s="49"/>
      <c r="E190" s="49"/>
      <c r="F190" s="49"/>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row>
    <row r="191" spans="2:51">
      <c r="B191" s="31"/>
      <c r="C191" s="49"/>
      <c r="D191" s="49"/>
      <c r="E191" s="49"/>
      <c r="F191" s="49"/>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row>
    <row r="192" spans="2:51">
      <c r="B192" s="31"/>
      <c r="C192" s="47"/>
      <c r="D192" s="47"/>
      <c r="E192" s="48"/>
      <c r="F192" s="48"/>
      <c r="N192" s="6"/>
      <c r="O192" s="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row>
    <row r="193" spans="2:51">
      <c r="B193" s="31"/>
      <c r="C193" s="47"/>
      <c r="D193" s="47"/>
      <c r="E193" s="48"/>
      <c r="F193" s="48"/>
      <c r="N193" s="6"/>
      <c r="O193" s="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row>
    <row r="194" spans="2:51">
      <c r="B194" s="31"/>
      <c r="C194" s="47"/>
      <c r="D194" s="47"/>
      <c r="E194" s="48"/>
      <c r="F194" s="48"/>
      <c r="N194" s="6"/>
      <c r="O194" s="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row>
    <row r="195" spans="2:51">
      <c r="B195" s="31"/>
      <c r="C195" s="47"/>
      <c r="D195" s="47"/>
      <c r="E195" s="48"/>
      <c r="F195" s="48"/>
      <c r="N195" s="6"/>
      <c r="O195" s="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row>
    <row r="196" spans="2:51">
      <c r="B196" s="31"/>
      <c r="C196" s="49"/>
      <c r="D196" s="49"/>
      <c r="E196" s="49"/>
      <c r="F196" s="49"/>
      <c r="N196" s="6"/>
      <c r="O196" s="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row>
    <row r="197" spans="2:51">
      <c r="B197" s="31"/>
      <c r="C197" s="49"/>
      <c r="D197" s="49"/>
      <c r="E197" s="49"/>
      <c r="F197" s="49"/>
      <c r="N197" s="6"/>
      <c r="O197" s="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row>
    <row r="198" spans="2:51">
      <c r="B198" s="31"/>
      <c r="C198" s="49"/>
      <c r="D198" s="49"/>
      <c r="E198" s="49"/>
      <c r="F198" s="49"/>
      <c r="N198" s="6"/>
      <c r="O198" s="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row>
    <row r="199" spans="2:51">
      <c r="B199" s="31"/>
      <c r="C199" s="49"/>
      <c r="D199" s="49"/>
      <c r="E199" s="49"/>
      <c r="F199" s="49"/>
      <c r="N199" s="6"/>
      <c r="O199" s="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row>
    <row r="200" spans="2:51">
      <c r="B200" s="31"/>
      <c r="C200" s="47"/>
      <c r="D200" s="47"/>
      <c r="E200" s="48"/>
      <c r="F200" s="48"/>
      <c r="N200" s="6"/>
      <c r="O200" s="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row>
    <row r="201" spans="2:51">
      <c r="B201" s="31"/>
      <c r="C201" s="47"/>
      <c r="D201" s="47"/>
      <c r="E201" s="48"/>
      <c r="F201" s="48"/>
      <c r="N201" s="6"/>
      <c r="O201" s="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row>
    <row r="202" spans="2:51">
      <c r="B202" s="31"/>
      <c r="C202" s="47"/>
      <c r="D202" s="47"/>
      <c r="E202" s="48"/>
      <c r="F202" s="48"/>
      <c r="N202" s="6"/>
      <c r="O202" s="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row>
    <row r="203" spans="2:51">
      <c r="B203" s="31"/>
      <c r="C203" s="47"/>
      <c r="D203" s="47"/>
      <c r="E203" s="48"/>
      <c r="F203" s="48"/>
      <c r="N203" s="6"/>
      <c r="O203" s="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row>
    <row r="204" spans="2:51">
      <c r="B204" s="31"/>
      <c r="C204" s="49"/>
      <c r="D204" s="49"/>
      <c r="E204" s="49"/>
      <c r="F204" s="49"/>
      <c r="N204" s="6"/>
      <c r="O204" s="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row>
    <row r="205" spans="2:51">
      <c r="B205" s="31"/>
      <c r="C205" s="49"/>
      <c r="D205" s="49"/>
      <c r="E205" s="49"/>
      <c r="F205" s="49"/>
      <c r="N205" s="6"/>
      <c r="O205" s="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row>
    <row r="206" spans="2:51">
      <c r="B206" s="31"/>
      <c r="C206" s="49"/>
      <c r="D206" s="49"/>
      <c r="E206" s="49"/>
      <c r="F206" s="49"/>
      <c r="N206" s="6"/>
      <c r="O206" s="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row>
    <row r="207" spans="2:51">
      <c r="B207" s="31"/>
      <c r="C207" s="49"/>
      <c r="D207" s="49"/>
      <c r="E207" s="49"/>
      <c r="F207" s="49"/>
      <c r="N207" s="6"/>
      <c r="O207" s="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row>
    <row r="208" spans="2:51">
      <c r="B208" s="31"/>
      <c r="C208" s="47"/>
      <c r="D208" s="47"/>
      <c r="E208" s="48"/>
      <c r="F208" s="48"/>
      <c r="N208" s="6"/>
      <c r="O208" s="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row>
    <row r="209" spans="2:51">
      <c r="B209" s="31"/>
      <c r="C209" s="47"/>
      <c r="D209" s="47"/>
      <c r="E209" s="48"/>
      <c r="F209" s="48"/>
      <c r="N209" s="6"/>
      <c r="O209" s="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row>
    <row r="210" spans="2:51">
      <c r="B210" s="31"/>
      <c r="C210" s="47"/>
      <c r="D210" s="47"/>
      <c r="E210" s="48"/>
      <c r="F210" s="48"/>
      <c r="N210" s="6"/>
      <c r="O210" s="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row>
    <row r="211" spans="2:51">
      <c r="B211" s="31"/>
      <c r="C211" s="47"/>
      <c r="D211" s="47"/>
      <c r="E211" s="48"/>
      <c r="F211" s="48"/>
      <c r="N211" s="6"/>
      <c r="O211" s="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row>
    <row r="212" spans="2:51">
      <c r="B212" s="31"/>
      <c r="C212" s="49"/>
      <c r="D212" s="49"/>
      <c r="E212" s="49"/>
      <c r="F212" s="49"/>
      <c r="N212" s="6"/>
      <c r="O212" s="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row>
    <row r="213" spans="2:51">
      <c r="B213" s="31"/>
      <c r="C213" s="49"/>
      <c r="D213" s="49"/>
      <c r="E213" s="49"/>
      <c r="F213" s="49"/>
      <c r="N213" s="6"/>
      <c r="O213" s="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row>
    <row r="214" spans="2:51">
      <c r="B214" s="31" t="s">
        <v>150</v>
      </c>
      <c r="C214" s="47"/>
      <c r="D214" s="47"/>
      <c r="E214" s="48"/>
      <c r="F214" s="48"/>
      <c r="N214" s="6"/>
      <c r="O214" s="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row>
    <row r="215" spans="2:51">
      <c r="B215" s="31"/>
      <c r="C215" s="47"/>
      <c r="D215" s="47"/>
      <c r="E215" s="48"/>
      <c r="F215" s="48"/>
      <c r="J215" s="6"/>
      <c r="K215" s="6"/>
      <c r="L215" s="6"/>
      <c r="M215" s="6"/>
      <c r="N215" s="6"/>
      <c r="O215" s="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row>
    <row r="216" spans="2:51">
      <c r="B216" s="31"/>
      <c r="C216" s="47"/>
      <c r="D216" s="47"/>
      <c r="E216" s="48"/>
      <c r="F216" s="48"/>
      <c r="J216" s="6"/>
      <c r="K216" s="6"/>
      <c r="L216" s="6"/>
      <c r="M216" s="6"/>
      <c r="N216" s="6"/>
      <c r="O216" s="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row>
    <row r="217" spans="2:51">
      <c r="B217" s="31"/>
      <c r="C217" s="49"/>
      <c r="D217" s="49"/>
      <c r="E217" s="49"/>
      <c r="F217" s="49"/>
      <c r="J217" s="6"/>
      <c r="K217" s="6"/>
      <c r="L217" s="6"/>
      <c r="M217" s="6"/>
      <c r="N217" s="6"/>
      <c r="O217" s="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row>
    <row r="218" spans="2:51">
      <c r="B218" s="31"/>
      <c r="C218" s="49"/>
      <c r="D218" s="49"/>
      <c r="E218" s="49"/>
      <c r="F218" s="49"/>
      <c r="J218" s="6"/>
      <c r="K218" s="6"/>
      <c r="L218" s="6"/>
      <c r="M218" s="6"/>
      <c r="N218" s="6"/>
      <c r="O218" s="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row>
    <row r="219" spans="2:51">
      <c r="B219" s="31"/>
      <c r="C219" s="49"/>
      <c r="D219" s="49"/>
      <c r="E219" s="49"/>
      <c r="F219" s="49"/>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row>
    <row r="220" spans="2:51">
      <c r="B220" s="31"/>
      <c r="C220" s="49"/>
      <c r="D220" s="49"/>
      <c r="E220" s="49"/>
      <c r="F220" s="49"/>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row>
    <row r="221" spans="2:51">
      <c r="B221" s="31"/>
      <c r="C221" s="47"/>
      <c r="D221" s="47"/>
      <c r="E221" s="48"/>
      <c r="F221" s="48"/>
      <c r="J221" s="6"/>
      <c r="K221" s="6"/>
      <c r="L221" s="6"/>
      <c r="M221" s="6"/>
      <c r="N221" s="6"/>
      <c r="O221" s="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row>
    <row r="222" spans="2:51">
      <c r="B222" s="31"/>
      <c r="C222" s="47"/>
      <c r="D222" s="47"/>
      <c r="E222" s="48"/>
      <c r="F222" s="48"/>
      <c r="J222" s="6"/>
      <c r="K222" s="6"/>
      <c r="L222" s="6"/>
      <c r="M222" s="6"/>
      <c r="N222" s="6"/>
      <c r="O222" s="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row>
    <row r="223" spans="2:51">
      <c r="B223" s="31"/>
      <c r="C223" s="47"/>
      <c r="D223" s="47"/>
      <c r="E223" s="48"/>
      <c r="F223" s="48"/>
      <c r="J223" s="6"/>
      <c r="K223" s="6"/>
      <c r="L223" s="6"/>
      <c r="M223" s="6"/>
      <c r="N223" s="6"/>
      <c r="O223" s="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row>
    <row r="224" spans="2:51">
      <c r="B224" s="31"/>
      <c r="C224" s="47"/>
      <c r="D224" s="47"/>
      <c r="E224" s="48"/>
      <c r="F224" s="48"/>
      <c r="J224" s="6"/>
      <c r="K224" s="6"/>
      <c r="L224" s="6"/>
      <c r="M224" s="6"/>
      <c r="N224" s="6"/>
      <c r="O224" s="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row>
    <row r="225" spans="2:51">
      <c r="B225" s="31"/>
      <c r="C225" s="49"/>
      <c r="D225" s="49"/>
      <c r="E225" s="49"/>
      <c r="F225" s="49"/>
      <c r="J225" s="6"/>
      <c r="K225" s="6"/>
      <c r="L225" s="6"/>
      <c r="M225" s="6"/>
      <c r="N225" s="6"/>
      <c r="O225" s="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row>
    <row r="226" spans="2:51">
      <c r="B226" s="31"/>
      <c r="C226" s="49"/>
      <c r="D226" s="49"/>
      <c r="E226" s="49"/>
      <c r="F226" s="49"/>
      <c r="J226" s="6"/>
      <c r="K226" s="6"/>
      <c r="L226" s="6"/>
      <c r="M226" s="6"/>
      <c r="N226" s="6"/>
      <c r="O226" s="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row>
    <row r="227" spans="2:51">
      <c r="B227" s="31"/>
      <c r="C227" s="49"/>
      <c r="D227" s="49"/>
      <c r="E227" s="49"/>
      <c r="F227" s="49"/>
      <c r="J227" s="6"/>
      <c r="K227" s="6"/>
      <c r="L227" s="6"/>
      <c r="M227" s="6"/>
      <c r="N227" s="6"/>
      <c r="O227" s="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row>
    <row r="228" spans="2:51">
      <c r="B228" s="31"/>
      <c r="C228" s="49"/>
      <c r="D228" s="49"/>
      <c r="E228" s="49"/>
      <c r="F228" s="49"/>
      <c r="J228" s="6"/>
      <c r="K228" s="6"/>
      <c r="L228" s="6"/>
      <c r="M228" s="6"/>
      <c r="N228" s="6"/>
      <c r="O228" s="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row>
    <row r="229" spans="2:51">
      <c r="B229" s="31"/>
      <c r="C229" s="47"/>
      <c r="D229" s="47"/>
      <c r="E229" s="48"/>
      <c r="F229" s="48"/>
      <c r="J229" s="6"/>
      <c r="K229" s="6"/>
      <c r="L229" s="6"/>
      <c r="M229" s="6"/>
      <c r="N229" s="6"/>
      <c r="O229" s="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row>
    <row r="230" spans="2:51">
      <c r="B230" s="31"/>
      <c r="C230" s="47"/>
      <c r="D230" s="47"/>
      <c r="E230" s="48"/>
      <c r="F230" s="48"/>
      <c r="J230" s="6"/>
      <c r="K230" s="6"/>
      <c r="L230" s="6"/>
      <c r="M230" s="6"/>
      <c r="N230" s="6"/>
      <c r="O230" s="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row>
    <row r="231" spans="2:51">
      <c r="B231" s="31"/>
      <c r="C231" s="47"/>
      <c r="D231" s="47"/>
      <c r="E231" s="48"/>
      <c r="F231" s="48"/>
      <c r="J231" s="6"/>
      <c r="K231" s="6"/>
      <c r="L231" s="6"/>
      <c r="M231" s="6"/>
      <c r="N231" s="6"/>
      <c r="O231" s="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row>
    <row r="232" spans="2:51">
      <c r="B232" s="31"/>
      <c r="C232" s="47"/>
      <c r="D232" s="47"/>
      <c r="E232" s="48"/>
      <c r="F232" s="48"/>
      <c r="J232" s="6"/>
      <c r="K232" s="6"/>
      <c r="L232" s="6"/>
      <c r="M232" s="6"/>
      <c r="N232" s="6"/>
      <c r="O232" s="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row>
    <row r="233" spans="2:51">
      <c r="B233" s="31"/>
      <c r="C233" s="49"/>
      <c r="D233" s="49"/>
      <c r="E233" s="49"/>
      <c r="F233" s="49"/>
      <c r="J233" s="6"/>
      <c r="K233" s="6"/>
      <c r="L233" s="6"/>
      <c r="M233" s="6"/>
      <c r="N233" s="6"/>
      <c r="O233" s="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row>
    <row r="234" spans="2:51">
      <c r="B234" s="31"/>
      <c r="C234" s="49"/>
      <c r="D234" s="49"/>
      <c r="E234" s="49"/>
      <c r="F234" s="49"/>
      <c r="J234" s="6"/>
      <c r="K234" s="6"/>
      <c r="L234" s="6"/>
      <c r="M234" s="6"/>
      <c r="N234" s="6"/>
      <c r="O234" s="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row>
    <row r="235" spans="2:51">
      <c r="B235" s="31"/>
      <c r="C235" s="49"/>
      <c r="D235" s="49"/>
      <c r="E235" s="49"/>
      <c r="F235" s="49"/>
      <c r="J235" s="6"/>
      <c r="K235" s="6"/>
      <c r="L235" s="6"/>
      <c r="M235" s="6"/>
      <c r="N235" s="6"/>
      <c r="O235" s="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row>
    <row r="236" spans="2:51">
      <c r="B236" s="31"/>
      <c r="C236" s="49"/>
      <c r="D236" s="49"/>
      <c r="E236" s="49"/>
      <c r="F236" s="49"/>
      <c r="J236" s="6"/>
      <c r="K236" s="6"/>
      <c r="L236" s="6"/>
      <c r="M236" s="6"/>
      <c r="N236" s="6"/>
      <c r="O236" s="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row>
    <row r="237" spans="2:51">
      <c r="B237" s="31"/>
      <c r="C237" s="47"/>
      <c r="D237" s="47"/>
      <c r="E237" s="48"/>
      <c r="F237" s="48"/>
      <c r="J237" s="6"/>
      <c r="K237" s="6"/>
      <c r="L237" s="6"/>
      <c r="M237" s="6"/>
      <c r="N237" s="6"/>
      <c r="O237" s="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row>
    <row r="238" spans="2:51">
      <c r="B238" s="31"/>
      <c r="C238" s="47"/>
      <c r="D238" s="47"/>
      <c r="E238" s="48"/>
      <c r="F238" s="48"/>
      <c r="J238" s="6"/>
      <c r="K238" s="6"/>
      <c r="L238" s="6"/>
      <c r="M238" s="6"/>
      <c r="N238" s="6"/>
      <c r="O238" s="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row>
    <row r="239" spans="2:51">
      <c r="B239" s="31"/>
      <c r="C239" s="47"/>
      <c r="D239" s="47"/>
      <c r="E239" s="48"/>
      <c r="F239" s="48"/>
      <c r="J239" s="6"/>
      <c r="K239" s="6"/>
      <c r="L239" s="6"/>
      <c r="M239" s="6"/>
      <c r="N239" s="6"/>
      <c r="O239" s="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row>
    <row r="240" spans="2:51">
      <c r="B240" s="31"/>
      <c r="C240" s="47"/>
      <c r="D240" s="47"/>
      <c r="E240" s="48"/>
      <c r="F240" s="48"/>
      <c r="J240" s="6"/>
      <c r="K240" s="6"/>
      <c r="L240" s="6"/>
      <c r="M240" s="6"/>
      <c r="N240" s="6"/>
      <c r="O240" s="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row>
    <row r="241" spans="2:51">
      <c r="B241" s="31"/>
      <c r="C241" s="47"/>
      <c r="D241" s="47"/>
      <c r="E241" s="48"/>
      <c r="F241" s="48"/>
      <c r="J241" s="6"/>
      <c r="K241" s="6"/>
      <c r="L241" s="6"/>
      <c r="M241" s="6"/>
      <c r="N241" s="6"/>
      <c r="O241" s="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row>
    <row r="242" spans="2:51">
      <c r="B242" s="31"/>
      <c r="C242" s="49"/>
      <c r="D242" s="49"/>
      <c r="E242" s="49"/>
      <c r="F242" s="49"/>
      <c r="J242" s="6"/>
      <c r="K242" s="6"/>
      <c r="L242" s="6"/>
      <c r="M242" s="6"/>
      <c r="N242" s="6"/>
      <c r="O242" s="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row>
    <row r="243" spans="2:51">
      <c r="B243" s="31" t="s">
        <v>151</v>
      </c>
      <c r="C243" s="47"/>
      <c r="D243" s="47"/>
      <c r="E243" s="48"/>
      <c r="F243" s="48"/>
      <c r="N243" s="6"/>
      <c r="O243" s="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row>
    <row r="244" spans="2:51">
      <c r="B244" s="31"/>
      <c r="C244" s="47"/>
      <c r="D244" s="47"/>
      <c r="E244" s="48"/>
      <c r="F244" s="48"/>
      <c r="J244" s="6"/>
      <c r="K244" s="6"/>
      <c r="L244" s="6"/>
      <c r="M244" s="6"/>
      <c r="N244" s="6"/>
      <c r="O244" s="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row>
    <row r="245" spans="2:51">
      <c r="B245" s="31"/>
      <c r="C245" s="47"/>
      <c r="D245" s="47"/>
      <c r="E245" s="48"/>
      <c r="F245" s="48"/>
      <c r="J245" s="6"/>
      <c r="K245" s="6"/>
      <c r="L245" s="6"/>
      <c r="M245" s="6"/>
      <c r="N245" s="6"/>
      <c r="O245" s="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row>
    <row r="246" spans="2:51">
      <c r="B246" s="31"/>
      <c r="C246" s="49"/>
      <c r="D246" s="49"/>
      <c r="E246" s="49"/>
      <c r="F246" s="49"/>
      <c r="J246" s="6"/>
      <c r="K246" s="6"/>
      <c r="L246" s="6"/>
      <c r="M246" s="6"/>
      <c r="N246" s="6"/>
      <c r="O246" s="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row>
    <row r="247" spans="2:51">
      <c r="B247" s="31"/>
      <c r="C247" s="49"/>
      <c r="D247" s="49"/>
      <c r="E247" s="49"/>
      <c r="F247" s="49"/>
      <c r="J247" s="6"/>
      <c r="K247" s="6"/>
      <c r="L247" s="6"/>
      <c r="M247" s="6"/>
      <c r="N247" s="6"/>
      <c r="O247" s="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row>
    <row r="248" spans="2:51">
      <c r="B248" s="31"/>
      <c r="C248" s="49"/>
      <c r="D248" s="49"/>
      <c r="E248" s="49"/>
      <c r="F248" s="49"/>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row>
    <row r="249" spans="2:51">
      <c r="B249" s="31"/>
      <c r="C249" s="49"/>
      <c r="D249" s="49"/>
      <c r="E249" s="49"/>
      <c r="F249" s="49"/>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row>
    <row r="250" spans="2:51">
      <c r="B250" s="31"/>
      <c r="C250" s="47"/>
      <c r="D250" s="47"/>
      <c r="E250" s="48"/>
      <c r="F250" s="48"/>
      <c r="J250" s="6"/>
      <c r="K250" s="6"/>
      <c r="L250" s="6"/>
      <c r="M250" s="6"/>
      <c r="N250" s="6"/>
      <c r="O250" s="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row>
    <row r="251" spans="2:51">
      <c r="B251" s="31"/>
      <c r="C251" s="47"/>
      <c r="D251" s="47"/>
      <c r="E251" s="48"/>
      <c r="F251" s="48"/>
      <c r="J251" s="31"/>
      <c r="K251" s="6"/>
      <c r="L251" s="6"/>
      <c r="M251" s="6"/>
      <c r="N251" s="6"/>
      <c r="O251" s="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row>
    <row r="252" spans="2:51">
      <c r="B252" s="31"/>
      <c r="C252" s="47"/>
      <c r="D252" s="47"/>
      <c r="E252" s="48"/>
      <c r="F252" s="48"/>
      <c r="J252" s="6"/>
      <c r="K252" s="6"/>
      <c r="L252" s="6"/>
      <c r="M252" s="6"/>
      <c r="N252" s="6"/>
      <c r="O252" s="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row>
    <row r="253" spans="2:51">
      <c r="B253" s="31"/>
      <c r="C253" s="47"/>
      <c r="D253" s="47"/>
      <c r="E253" s="48"/>
      <c r="F253" s="48"/>
      <c r="J253" s="6"/>
      <c r="K253" s="6"/>
      <c r="L253" s="6"/>
      <c r="M253" s="6"/>
      <c r="N253" s="6"/>
      <c r="O253" s="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row>
    <row r="254" spans="2:51">
      <c r="B254" s="31"/>
      <c r="C254" s="49"/>
      <c r="D254" s="49"/>
      <c r="E254" s="49"/>
      <c r="F254" s="49"/>
      <c r="J254" s="6"/>
      <c r="K254" s="6"/>
      <c r="L254" s="6"/>
      <c r="M254" s="6"/>
      <c r="N254" s="6"/>
      <c r="O254" s="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row>
    <row r="255" spans="2:51">
      <c r="B255" s="31"/>
      <c r="C255" s="49"/>
      <c r="D255" s="49"/>
      <c r="E255" s="49"/>
      <c r="F255" s="49"/>
      <c r="J255" s="6"/>
      <c r="K255" s="6"/>
      <c r="L255" s="6"/>
      <c r="M255" s="6"/>
      <c r="N255" s="6"/>
      <c r="O255" s="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row>
    <row r="256" spans="2:51">
      <c r="B256" s="31"/>
      <c r="C256" s="49"/>
      <c r="D256" s="49"/>
      <c r="E256" s="49"/>
      <c r="F256" s="49"/>
      <c r="J256" s="6"/>
      <c r="K256" s="6"/>
      <c r="L256" s="6"/>
      <c r="M256" s="6"/>
      <c r="N256" s="6"/>
      <c r="O256" s="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row>
    <row r="257" spans="2:51">
      <c r="B257" s="31"/>
      <c r="C257" s="49"/>
      <c r="D257" s="49"/>
      <c r="E257" s="49"/>
      <c r="F257" s="49"/>
      <c r="J257" s="6"/>
      <c r="K257" s="6"/>
      <c r="L257" s="6"/>
      <c r="M257" s="6"/>
      <c r="N257" s="6"/>
      <c r="O257" s="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row>
    <row r="258" spans="2:51">
      <c r="B258" s="31"/>
      <c r="C258" s="47"/>
      <c r="D258" s="47"/>
      <c r="E258" s="48"/>
      <c r="F258" s="48"/>
      <c r="J258" s="6"/>
      <c r="K258" s="6"/>
      <c r="L258" s="6"/>
      <c r="M258" s="6"/>
      <c r="N258" s="6"/>
      <c r="O258" s="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row>
    <row r="259" spans="2:51">
      <c r="B259" s="31"/>
      <c r="C259" s="47"/>
      <c r="D259" s="47"/>
      <c r="E259" s="48"/>
      <c r="F259" s="48"/>
      <c r="J259" s="6"/>
      <c r="K259" s="6"/>
      <c r="L259" s="6"/>
      <c r="M259" s="6"/>
      <c r="N259" s="6"/>
      <c r="O259" s="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row>
    <row r="260" spans="2:51">
      <c r="B260" s="31"/>
      <c r="C260" s="47"/>
      <c r="D260" s="47"/>
      <c r="E260" s="48"/>
      <c r="F260" s="48"/>
      <c r="J260" s="6"/>
      <c r="K260" s="6"/>
      <c r="L260" s="6"/>
      <c r="M260" s="6"/>
      <c r="N260" s="6"/>
      <c r="O260" s="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c r="AY260" s="26"/>
    </row>
    <row r="261" spans="2:51">
      <c r="B261" s="31"/>
      <c r="C261" s="47"/>
      <c r="D261" s="47"/>
      <c r="E261" s="48"/>
      <c r="F261" s="48"/>
      <c r="J261" s="6"/>
      <c r="K261" s="6"/>
      <c r="L261" s="6"/>
      <c r="M261" s="6"/>
      <c r="N261" s="6"/>
      <c r="O261" s="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c r="AY261" s="26"/>
    </row>
    <row r="262" spans="2:51">
      <c r="B262" s="31"/>
      <c r="C262" s="49"/>
      <c r="D262" s="49"/>
      <c r="E262" s="49"/>
      <c r="F262" s="49"/>
      <c r="J262" s="6"/>
      <c r="K262" s="6"/>
      <c r="L262" s="6"/>
      <c r="M262" s="6"/>
      <c r="N262" s="6"/>
      <c r="O262" s="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c r="AY262" s="26"/>
    </row>
    <row r="263" spans="2:51">
      <c r="B263" s="31"/>
      <c r="C263" s="49"/>
      <c r="D263" s="49"/>
      <c r="E263" s="49"/>
      <c r="F263" s="49"/>
      <c r="J263" s="6"/>
      <c r="K263" s="6"/>
      <c r="L263" s="6"/>
      <c r="M263" s="6"/>
      <c r="N263" s="6"/>
      <c r="O263" s="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c r="AY263" s="26"/>
    </row>
    <row r="264" spans="2:51">
      <c r="B264" s="31"/>
      <c r="C264" s="49"/>
      <c r="D264" s="49"/>
      <c r="E264" s="49"/>
      <c r="F264" s="49"/>
      <c r="J264" s="6"/>
      <c r="K264" s="6"/>
      <c r="L264" s="6"/>
      <c r="M264" s="6"/>
      <c r="N264" s="6"/>
      <c r="O264" s="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c r="AY264" s="26"/>
    </row>
    <row r="265" spans="2:51">
      <c r="B265" s="31"/>
      <c r="C265" s="49"/>
      <c r="D265" s="49"/>
      <c r="E265" s="49"/>
      <c r="F265" s="49"/>
      <c r="J265" s="6"/>
      <c r="K265" s="6"/>
      <c r="L265" s="6"/>
      <c r="M265" s="6"/>
      <c r="N265" s="6"/>
      <c r="O265" s="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c r="AY265" s="26"/>
    </row>
    <row r="266" spans="2:51">
      <c r="B266" s="31"/>
      <c r="C266" s="47"/>
      <c r="D266" s="47"/>
      <c r="E266" s="48"/>
      <c r="F266" s="48"/>
      <c r="J266" s="6"/>
      <c r="K266" s="6"/>
      <c r="L266" s="6"/>
      <c r="M266" s="6"/>
      <c r="N266" s="6"/>
      <c r="O266" s="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c r="AY266" s="26"/>
    </row>
    <row r="267" spans="2:51">
      <c r="B267" s="31"/>
      <c r="C267" s="47"/>
      <c r="D267" s="47"/>
      <c r="E267" s="48"/>
      <c r="F267" s="48"/>
      <c r="J267" s="6"/>
      <c r="K267" s="6"/>
      <c r="L267" s="6"/>
      <c r="M267" s="6"/>
      <c r="N267" s="6"/>
      <c r="O267" s="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row>
    <row r="268" spans="2:51">
      <c r="B268" s="31"/>
      <c r="C268" s="47"/>
      <c r="D268" s="47"/>
      <c r="E268" s="48"/>
      <c r="F268" s="48"/>
      <c r="J268" s="6"/>
      <c r="K268" s="6"/>
      <c r="L268" s="6"/>
      <c r="M268" s="6"/>
      <c r="N268" s="6"/>
      <c r="O268" s="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row>
    <row r="269" spans="2:51">
      <c r="B269" s="31"/>
      <c r="C269" s="47"/>
      <c r="D269" s="47"/>
      <c r="E269" s="48"/>
      <c r="F269" s="48"/>
      <c r="J269" s="6"/>
      <c r="K269" s="6"/>
      <c r="L269" s="6"/>
      <c r="M269" s="6"/>
      <c r="N269" s="6"/>
      <c r="O269" s="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row>
    <row r="270" spans="2:51">
      <c r="B270" s="31"/>
      <c r="C270" s="49"/>
      <c r="D270" s="49"/>
      <c r="E270" s="49"/>
      <c r="F270" s="49"/>
      <c r="J270" s="6"/>
      <c r="K270" s="6"/>
      <c r="L270" s="6"/>
      <c r="M270" s="6"/>
      <c r="N270" s="6"/>
      <c r="O270" s="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row>
    <row r="271" spans="2:51">
      <c r="B271" s="31"/>
      <c r="C271" s="50"/>
      <c r="D271" s="50"/>
      <c r="J271" s="6"/>
      <c r="K271" s="6"/>
      <c r="L271" s="6"/>
      <c r="M271" s="6"/>
      <c r="N271" s="6"/>
      <c r="O271" s="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row>
    <row r="272" spans="2:51">
      <c r="B272" s="31" t="s">
        <v>237</v>
      </c>
      <c r="C272" s="47"/>
      <c r="D272" s="47"/>
      <c r="E272" s="48"/>
      <c r="F272" s="48"/>
      <c r="N272" s="6"/>
      <c r="O272" s="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row>
    <row r="273" spans="2:51">
      <c r="B273" s="31"/>
      <c r="C273" s="47"/>
      <c r="D273" s="47"/>
      <c r="E273" s="48"/>
      <c r="F273" s="48"/>
      <c r="J273" s="6"/>
      <c r="K273" s="6"/>
      <c r="L273" s="6"/>
      <c r="M273" s="6"/>
      <c r="N273" s="6"/>
      <c r="O273" s="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row>
    <row r="274" spans="2:51">
      <c r="B274" s="31"/>
      <c r="C274" s="47"/>
      <c r="D274" s="47"/>
      <c r="E274" s="48"/>
      <c r="F274" s="48"/>
      <c r="J274" s="6"/>
      <c r="K274" s="6"/>
      <c r="L274" s="6"/>
      <c r="M274" s="6"/>
      <c r="N274" s="6"/>
      <c r="O274" s="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row>
    <row r="275" spans="2:51">
      <c r="B275" s="31"/>
      <c r="C275" s="49"/>
      <c r="D275" s="49"/>
      <c r="E275" s="49"/>
      <c r="F275" s="49"/>
      <c r="J275" s="6"/>
      <c r="K275" s="6"/>
      <c r="L275" s="6"/>
      <c r="M275" s="6"/>
      <c r="N275" s="6"/>
      <c r="O275" s="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c r="AY275" s="26"/>
    </row>
    <row r="276" spans="2:51">
      <c r="B276" s="31"/>
      <c r="C276" s="49"/>
      <c r="D276" s="49"/>
      <c r="E276" s="49"/>
      <c r="F276" s="49"/>
      <c r="J276" s="6"/>
      <c r="K276" s="6"/>
      <c r="L276" s="6"/>
      <c r="M276" s="6"/>
      <c r="N276" s="6"/>
      <c r="O276" s="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c r="AY276" s="26"/>
    </row>
    <row r="277" spans="2:51">
      <c r="B277" s="31"/>
      <c r="C277" s="49"/>
      <c r="D277" s="49"/>
      <c r="E277" s="49"/>
      <c r="F277" s="49"/>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c r="AY277" s="26"/>
    </row>
    <row r="278" spans="2:51">
      <c r="B278" s="31"/>
      <c r="C278" s="49"/>
      <c r="D278" s="49"/>
      <c r="E278" s="49"/>
      <c r="F278" s="49"/>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c r="AY278" s="26"/>
    </row>
    <row r="279" spans="2:51">
      <c r="B279" s="31"/>
      <c r="C279" s="47"/>
      <c r="D279" s="47"/>
      <c r="E279" s="48"/>
      <c r="F279" s="48"/>
      <c r="J279" s="6"/>
      <c r="K279" s="6"/>
      <c r="L279" s="6"/>
      <c r="M279" s="6"/>
      <c r="N279" s="6"/>
      <c r="O279" s="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c r="AY279" s="26"/>
    </row>
    <row r="280" spans="2:51">
      <c r="B280" s="31"/>
      <c r="C280" s="47"/>
      <c r="D280" s="47"/>
      <c r="E280" s="48"/>
      <c r="F280" s="48"/>
      <c r="J280" s="31"/>
      <c r="K280" s="6"/>
      <c r="L280" s="6"/>
      <c r="M280" s="6"/>
      <c r="N280" s="6"/>
      <c r="O280" s="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c r="AY280" s="26"/>
    </row>
    <row r="281" spans="2:51">
      <c r="B281" s="31"/>
      <c r="C281" s="47"/>
      <c r="D281" s="47"/>
      <c r="E281" s="48"/>
      <c r="F281" s="48"/>
      <c r="J281" s="6"/>
      <c r="K281" s="6"/>
      <c r="L281" s="6"/>
      <c r="M281" s="6"/>
      <c r="N281" s="6"/>
      <c r="O281" s="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c r="AY281" s="26"/>
    </row>
    <row r="282" spans="2:51">
      <c r="B282" s="31"/>
      <c r="C282" s="47"/>
      <c r="D282" s="47"/>
      <c r="E282" s="48"/>
      <c r="F282" s="48"/>
      <c r="J282" s="6"/>
      <c r="K282" s="6"/>
      <c r="L282" s="6"/>
      <c r="M282" s="6"/>
      <c r="N282" s="6"/>
      <c r="O282" s="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row>
    <row r="283" spans="2:51">
      <c r="B283" s="31"/>
      <c r="C283" s="49"/>
      <c r="D283" s="49"/>
      <c r="E283" s="49"/>
      <c r="F283" s="49"/>
      <c r="J283" s="6"/>
      <c r="K283" s="6"/>
      <c r="L283" s="6"/>
      <c r="M283" s="6"/>
      <c r="N283" s="6"/>
      <c r="O283" s="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row>
    <row r="284" spans="2:51">
      <c r="B284" s="31"/>
      <c r="C284" s="49"/>
      <c r="D284" s="49"/>
      <c r="E284" s="49"/>
      <c r="F284" s="49"/>
      <c r="J284" s="6"/>
      <c r="K284" s="6"/>
      <c r="L284" s="6"/>
      <c r="M284" s="6"/>
      <c r="N284" s="6"/>
      <c r="O284" s="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row>
    <row r="285" spans="2:51">
      <c r="B285" s="31"/>
      <c r="C285" s="49"/>
      <c r="D285" s="49"/>
      <c r="E285" s="49"/>
      <c r="F285" s="49"/>
      <c r="J285" s="6"/>
      <c r="K285" s="6"/>
      <c r="L285" s="6"/>
      <c r="M285" s="6"/>
      <c r="N285" s="6"/>
      <c r="O285" s="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c r="AY285" s="26"/>
    </row>
    <row r="286" spans="2:51">
      <c r="B286" s="31"/>
      <c r="C286" s="49"/>
      <c r="D286" s="49"/>
      <c r="E286" s="49"/>
      <c r="F286" s="49"/>
      <c r="J286" s="6"/>
      <c r="K286" s="6"/>
      <c r="L286" s="6"/>
      <c r="M286" s="6"/>
      <c r="N286" s="6"/>
      <c r="O286" s="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row>
    <row r="287" spans="2:51">
      <c r="B287" s="31"/>
      <c r="C287" s="47"/>
      <c r="D287" s="47"/>
      <c r="E287" s="48"/>
      <c r="F287" s="48"/>
      <c r="J287" s="6"/>
      <c r="K287" s="6"/>
      <c r="L287" s="6"/>
      <c r="M287" s="6"/>
      <c r="N287" s="6"/>
      <c r="O287" s="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row>
    <row r="288" spans="2:51">
      <c r="B288" s="31"/>
      <c r="C288" s="47"/>
      <c r="D288" s="47"/>
      <c r="E288" s="48"/>
      <c r="F288" s="48"/>
      <c r="J288" s="6"/>
      <c r="K288" s="6"/>
      <c r="L288" s="6"/>
      <c r="M288" s="6"/>
      <c r="N288" s="6"/>
      <c r="O288" s="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row>
    <row r="289" spans="2:51">
      <c r="B289" s="31"/>
      <c r="C289" s="47"/>
      <c r="D289" s="47"/>
      <c r="E289" s="48"/>
      <c r="F289" s="48"/>
      <c r="J289" s="6"/>
      <c r="K289" s="6"/>
      <c r="L289" s="6"/>
      <c r="M289" s="6"/>
      <c r="N289" s="6"/>
      <c r="O289" s="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c r="AY289" s="26"/>
    </row>
    <row r="290" spans="2:51">
      <c r="B290" s="31"/>
      <c r="C290" s="47"/>
      <c r="D290" s="47"/>
      <c r="E290" s="48"/>
      <c r="F290" s="48"/>
      <c r="J290" s="6"/>
      <c r="K290" s="6"/>
      <c r="L290" s="6"/>
      <c r="M290" s="6"/>
      <c r="N290" s="6"/>
      <c r="O290" s="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row>
    <row r="291" spans="2:51">
      <c r="B291" s="31"/>
      <c r="C291" s="49"/>
      <c r="D291" s="49"/>
      <c r="E291" s="49"/>
      <c r="F291" s="49"/>
      <c r="J291" s="6"/>
      <c r="K291" s="6"/>
      <c r="L291" s="6"/>
      <c r="M291" s="6"/>
      <c r="N291" s="6"/>
      <c r="O291" s="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c r="AY291" s="26"/>
    </row>
    <row r="292" spans="2:51">
      <c r="B292" s="31"/>
      <c r="C292" s="49"/>
      <c r="D292" s="49"/>
      <c r="E292" s="49"/>
      <c r="F292" s="49"/>
      <c r="J292" s="6"/>
      <c r="K292" s="6"/>
      <c r="L292" s="6"/>
      <c r="M292" s="6"/>
      <c r="N292" s="6"/>
      <c r="O292" s="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row>
    <row r="293" spans="2:51">
      <c r="B293" s="31"/>
      <c r="C293" s="49"/>
      <c r="D293" s="49"/>
      <c r="E293" s="49"/>
      <c r="F293" s="49"/>
      <c r="J293" s="6"/>
      <c r="K293" s="6"/>
      <c r="L293" s="6"/>
      <c r="M293" s="6"/>
      <c r="N293" s="6"/>
      <c r="O293" s="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c r="AY293" s="26"/>
    </row>
    <row r="294" spans="2:51">
      <c r="B294" s="31"/>
      <c r="C294" s="49"/>
      <c r="D294" s="49"/>
      <c r="E294" s="49"/>
      <c r="F294" s="49"/>
      <c r="J294" s="6"/>
      <c r="K294" s="6"/>
      <c r="L294" s="6"/>
      <c r="M294" s="6"/>
      <c r="N294" s="6"/>
      <c r="O294" s="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row>
    <row r="295" spans="2:51">
      <c r="B295" s="31"/>
      <c r="C295" s="47"/>
      <c r="D295" s="47"/>
      <c r="E295" s="48"/>
      <c r="F295" s="48"/>
      <c r="J295" s="6"/>
      <c r="K295" s="6"/>
      <c r="L295" s="6"/>
      <c r="M295" s="6"/>
      <c r="N295" s="6"/>
      <c r="O295" s="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c r="AY295" s="26"/>
    </row>
    <row r="296" spans="2:51">
      <c r="B296" s="31"/>
      <c r="C296" s="47"/>
      <c r="D296" s="47"/>
      <c r="E296" s="48"/>
      <c r="F296" s="48"/>
      <c r="J296" s="6"/>
      <c r="K296" s="6"/>
      <c r="L296" s="6"/>
      <c r="M296" s="6"/>
      <c r="N296" s="6"/>
      <c r="O296" s="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row>
    <row r="297" spans="2:51">
      <c r="B297" s="31"/>
      <c r="C297" s="47"/>
      <c r="D297" s="47"/>
      <c r="E297" s="48"/>
      <c r="F297" s="48"/>
      <c r="J297" s="6"/>
      <c r="K297" s="6"/>
      <c r="L297" s="6"/>
      <c r="M297" s="6"/>
      <c r="N297" s="6"/>
      <c r="O297" s="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c r="AY297" s="26"/>
    </row>
    <row r="298" spans="2:51">
      <c r="B298" s="31"/>
      <c r="C298" s="47"/>
      <c r="D298" s="47"/>
      <c r="E298" s="48"/>
      <c r="F298" s="48"/>
      <c r="J298" s="6"/>
      <c r="K298" s="6"/>
      <c r="L298" s="6"/>
      <c r="M298" s="6"/>
      <c r="N298" s="6"/>
      <c r="O298" s="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row>
    <row r="299" spans="2:51">
      <c r="B299" s="31"/>
      <c r="C299" s="49"/>
      <c r="D299" s="49"/>
      <c r="E299" s="49"/>
      <c r="F299" s="49"/>
      <c r="J299" s="6"/>
      <c r="K299" s="6"/>
      <c r="L299" s="6"/>
      <c r="M299" s="6"/>
      <c r="N299" s="6"/>
      <c r="O299" s="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row>
    <row r="300" spans="2:51">
      <c r="B300" s="31"/>
      <c r="C300" s="50"/>
      <c r="D300" s="50"/>
      <c r="J300" s="6"/>
      <c r="K300" s="6"/>
      <c r="L300" s="6"/>
      <c r="M300" s="6"/>
      <c r="N300" s="6"/>
      <c r="O300" s="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row>
    <row r="301" spans="2:51">
      <c r="B301" s="31"/>
      <c r="C301" s="50"/>
      <c r="D301" s="50"/>
      <c r="J301" s="6"/>
      <c r="K301" s="6"/>
      <c r="L301" s="283"/>
      <c r="M301" s="283"/>
      <c r="N301" s="283"/>
      <c r="O301" s="283"/>
      <c r="P301" s="283"/>
      <c r="Q301" s="283"/>
      <c r="R301" s="283"/>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row>
    <row r="302" spans="2:51">
      <c r="C302" s="28"/>
      <c r="L302" s="283"/>
      <c r="M302" s="283"/>
      <c r="N302" s="283"/>
      <c r="O302" s="283"/>
      <c r="P302" s="283"/>
      <c r="Q302" s="283"/>
      <c r="R302" s="283"/>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row>
    <row r="303" spans="2:51">
      <c r="B303" s="30" t="s">
        <v>152</v>
      </c>
      <c r="C303" s="37" t="s">
        <v>129</v>
      </c>
      <c r="D303" s="37" t="s">
        <v>129</v>
      </c>
      <c r="E303" s="37" t="s">
        <v>129</v>
      </c>
      <c r="F303" s="37" t="s">
        <v>139</v>
      </c>
      <c r="G303" s="51" t="s">
        <v>139</v>
      </c>
      <c r="H303" s="51" t="s">
        <v>139</v>
      </c>
      <c r="I303" s="37" t="s">
        <v>130</v>
      </c>
      <c r="J303" s="37" t="s">
        <v>130</v>
      </c>
      <c r="K303" s="37" t="s">
        <v>130</v>
      </c>
      <c r="L303" s="278"/>
      <c r="M303" s="278"/>
      <c r="N303" s="278"/>
      <c r="O303" s="283"/>
      <c r="P303" s="283"/>
      <c r="Q303" s="283"/>
      <c r="R303" s="278"/>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c r="AY303" s="26"/>
    </row>
    <row r="304" spans="2:51">
      <c r="B304" s="52"/>
      <c r="C304" s="30">
        <v>2018</v>
      </c>
      <c r="D304" s="30" t="s">
        <v>223</v>
      </c>
      <c r="E304" s="30" t="s">
        <v>224</v>
      </c>
      <c r="F304" s="30">
        <v>2018</v>
      </c>
      <c r="G304" s="30" t="s">
        <v>223</v>
      </c>
      <c r="H304" s="30" t="s">
        <v>224</v>
      </c>
      <c r="I304" s="30">
        <v>2018</v>
      </c>
      <c r="J304" s="30" t="s">
        <v>223</v>
      </c>
      <c r="K304" s="30" t="s">
        <v>224</v>
      </c>
      <c r="L304" s="279"/>
      <c r="M304" s="279"/>
      <c r="N304" s="279"/>
      <c r="O304" s="283"/>
      <c r="P304" s="283"/>
      <c r="Q304" s="283"/>
      <c r="R304" s="279"/>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row>
    <row r="305" spans="2:51">
      <c r="B305" s="53" t="s">
        <v>153</v>
      </c>
      <c r="C305" s="12">
        <f>'2018'!$X$14+'2018'!$X$17+'2018'!$X$18+'2018'!$X$19+'2018'!$X$20+'2018'!$X$21+'2018'!$X$22</f>
        <v>1374.2</v>
      </c>
      <c r="D305" s="12">
        <f>'BAU2030'!$X$14+'BAU2030'!$X$17+'BAU2030'!$X$18+'BAU2030'!$X$19+'BAU2030'!$X$20+'BAU2030'!$X$21+'BAU2030'!$X$22</f>
        <v>1242.2649333333331</v>
      </c>
      <c r="E305" s="12">
        <f>'BAU2050'!$X$14+'BAU2050'!$X$17+'BAU2050'!$X$18+'BAU2050'!$X$19+'BAU2050'!$X$20+'BAU2050'!$X$21+'BAU2050'!$X$22</f>
        <v>1327.5899999999997</v>
      </c>
      <c r="F305" s="12">
        <f>SUM('2018'!$L$14:$V$22)+('2018'!$I$16+'2018'!$I$18)/('2018'!$I$16+'2018'!$I$18+'2018'!$I$24+SUM('2018'!$I$33:$I$71))*SUM('2018'!$L$31:$V$31)</f>
        <v>871</v>
      </c>
      <c r="G305" s="12">
        <f>SUM('BAU2030'!$L$14:$V$22)+('BAU2030'!$I$16+'BAU2030'!$I$18)/('BAU2030'!$I$16+'BAU2030'!$I$18+'BAU2030'!$I$24+SUM('BAU2030'!$I$33:$I$71))*SUM('BAU2030'!$L$31:$V$31)</f>
        <v>925.74333333333334</v>
      </c>
      <c r="H305" s="12">
        <f>SUM('BAU2050'!$L$14:$V$22)+('BAU2050'!$I$16+'BAU2050'!$I$18)/('BAU2050'!$I$16+'BAU2050'!$I$18+'BAU2050'!$I$24+SUM('BAU2050'!$I$33:$I$71))*SUM('BAU2050'!$L$31:$V$31)</f>
        <v>1053.0299999999997</v>
      </c>
      <c r="I305" s="17">
        <f t="shared" ref="I305:K310" si="11">C305-F305</f>
        <v>503.20000000000005</v>
      </c>
      <c r="J305" s="17">
        <f t="shared" si="11"/>
        <v>316.52159999999981</v>
      </c>
      <c r="K305" s="17">
        <f t="shared" si="11"/>
        <v>274.55999999999995</v>
      </c>
      <c r="L305" s="281"/>
      <c r="M305" s="281"/>
      <c r="N305" s="281"/>
      <c r="O305" s="283"/>
      <c r="P305" s="283"/>
      <c r="Q305" s="283"/>
      <c r="R305" s="284"/>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c r="AY305" s="26"/>
    </row>
    <row r="306" spans="2:51">
      <c r="B306" s="53" t="s">
        <v>154</v>
      </c>
      <c r="C306" s="12">
        <f>SUM('2018'!$X$32:$X$62)</f>
        <v>2890.4</v>
      </c>
      <c r="D306" s="12">
        <f>SUM('BAU2030'!$X$32:$X$62)</f>
        <v>2708.7283200000002</v>
      </c>
      <c r="E306" s="12">
        <f>SUM('BAU2050'!$X$32:$X$62)</f>
        <v>2543.4737999999998</v>
      </c>
      <c r="F306" s="12">
        <f>SUM('2018'!$L$32:$V$62)+SUM('2018'!$I$33:$I$71)/('2018'!$I$16+'2018'!$I$18+'2018'!$I$24+SUM('2018'!$I$33:$I$71))*SUM('2018'!$L$31:$V$31)</f>
        <v>2688.0000000000005</v>
      </c>
      <c r="G306" s="12">
        <f>SUM('BAU2030'!$L$32:$V$62)+SUM('BAU2030'!$I$33:$I$71)/('BAU2030'!$I$16+'BAU2030'!$I$18+'BAU2030'!$I$24+SUM('BAU2030'!$I$33:$I$71))*SUM('BAU2030'!$L$31:$V$31)</f>
        <v>2617.5120000000002</v>
      </c>
      <c r="H306" s="12">
        <f>SUM('BAU2050'!$L$32:$V$62)+SUM('BAU2050'!$I$33:$I$71)/('BAU2050'!$I$16+'BAU2050'!$I$18+'BAU2050'!$I$24+SUM('BAU2050'!$I$33:$I$71))*SUM('BAU2050'!$L$31:$V$31)</f>
        <v>2457.5400000000004</v>
      </c>
      <c r="I306" s="17">
        <f t="shared" si="11"/>
        <v>202.39999999999964</v>
      </c>
      <c r="J306" s="17">
        <f t="shared" si="11"/>
        <v>91.216319999999996</v>
      </c>
      <c r="K306" s="17">
        <f t="shared" si="11"/>
        <v>85.933799999999337</v>
      </c>
      <c r="L306" s="281"/>
      <c r="M306" s="281"/>
      <c r="N306" s="281"/>
      <c r="O306" s="283"/>
      <c r="P306" s="283"/>
      <c r="Q306" s="283"/>
      <c r="R306" s="284"/>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row>
    <row r="307" spans="2:51">
      <c r="B307" s="53" t="s">
        <v>155</v>
      </c>
      <c r="C307" s="12">
        <f>'2018'!$X$16+'2018'!$X$23+'2018'!$X$24+'2018'!$X$25+SUM('2018'!$X$63:$X$71)</f>
        <v>770.9</v>
      </c>
      <c r="D307" s="12">
        <f>'BAU2030'!$X$16+'BAU2030'!$X$23+'BAU2030'!$X$24+'BAU2030'!$X$25+SUM('BAU2030'!$X$63:$X$71)</f>
        <v>770.9</v>
      </c>
      <c r="E307" s="12">
        <f>'BAU2050'!$X$16+'BAU2050'!$X$23+'BAU2050'!$X$24+'BAU2050'!$X$25+SUM('BAU2050'!$X$63:$X$71)</f>
        <v>770.9</v>
      </c>
      <c r="F307" s="12">
        <f>SUM('2018'!$L$25:$V$25)+SUM('2018'!$M$63:$V$71)+('2018'!$I$24)/('2018'!$I$16+'2018'!$I$18+'2018'!$I$24+SUM('2018'!$I$33:$I$71))*SUM('2018'!$L$31:$V$31)</f>
        <v>1</v>
      </c>
      <c r="G307" s="12">
        <f>SUM('BAU2030'!$L$25:$V$25)+SUM('BAU2030'!$M$63:$V$71)+('BAU2030'!$I$24)/('BAU2030'!$I$16+'BAU2030'!$I$18+'BAU2030'!$I$24+SUM('BAU2030'!$I$33:$I$71))*SUM('BAU2030'!$L$31:$V$31)</f>
        <v>1</v>
      </c>
      <c r="H307" s="12">
        <f>SUM('BAU2050'!$L$25:$V$25)+SUM('BAU2050'!$M$63:$V$71)+('BAU2050'!$I$24)/('BAU2050'!$I$16+'BAU2050'!$I$18+'BAU2050'!$I$24+SUM('BAU2050'!$I$33:$I$71))*SUM('BAU2050'!$L$31:$V$31)</f>
        <v>1</v>
      </c>
      <c r="I307" s="17">
        <f t="shared" si="11"/>
        <v>769.9</v>
      </c>
      <c r="J307" s="17">
        <f t="shared" si="11"/>
        <v>769.9</v>
      </c>
      <c r="K307" s="17">
        <f t="shared" si="11"/>
        <v>769.9</v>
      </c>
      <c r="L307" s="281"/>
      <c r="M307" s="281"/>
      <c r="N307" s="281"/>
      <c r="O307" s="283"/>
      <c r="P307" s="283"/>
      <c r="Q307" s="283"/>
      <c r="R307" s="284"/>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c r="AY307" s="26"/>
    </row>
    <row r="308" spans="2:51">
      <c r="B308" s="53" t="s">
        <v>156</v>
      </c>
      <c r="C308" s="12">
        <f>SUM('2018'!$X$72:$X$80)</f>
        <v>3748.8</v>
      </c>
      <c r="D308" s="12">
        <f>SUM('BAU2030'!$X$72:$X$80)</f>
        <v>3327.8001939999999</v>
      </c>
      <c r="E308" s="12">
        <f>SUM('BAU2050'!$X$72:$X$80)</f>
        <v>2188.4249999999997</v>
      </c>
      <c r="F308" s="12">
        <f>SUM('2018'!$P$72:$P$80)</f>
        <v>134.57640000000001</v>
      </c>
      <c r="G308" s="10">
        <f>SUM('BAU2030'!$P$72:$P$80)</f>
        <v>112.29792</v>
      </c>
      <c r="H308" s="10">
        <f>SUM('BAU2050'!$P$72:$P$80)</f>
        <v>53.246280000000006</v>
      </c>
      <c r="I308" s="17">
        <f t="shared" si="11"/>
        <v>3614.2236000000003</v>
      </c>
      <c r="J308" s="17">
        <f t="shared" si="11"/>
        <v>3215.5022739999999</v>
      </c>
      <c r="K308" s="17">
        <f t="shared" si="11"/>
        <v>2135.1787199999999</v>
      </c>
      <c r="L308" s="281"/>
      <c r="M308" s="281"/>
      <c r="N308" s="281"/>
      <c r="O308" s="283"/>
      <c r="P308" s="283"/>
      <c r="Q308" s="283"/>
      <c r="R308" s="284"/>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row>
    <row r="309" spans="2:51">
      <c r="B309" s="53" t="s">
        <v>207</v>
      </c>
      <c r="C309" s="12">
        <f>SUM('2018'!$X$26:$X$29)</f>
        <v>1251.5999999999999</v>
      </c>
      <c r="D309" s="12">
        <f>SUM('BAU2030'!$X$26:$X$29)</f>
        <v>2390.6</v>
      </c>
      <c r="E309" s="12">
        <f>SUM('BAU2050'!$X$26:$X$29)</f>
        <v>2390.6</v>
      </c>
      <c r="F309" s="12">
        <f>SUM('2018'!$X$26:$X$30)</f>
        <v>1251.5999999999999</v>
      </c>
      <c r="G309" s="10">
        <f>SUM('BAU2030'!$X$26:$X$30)</f>
        <v>2390.6</v>
      </c>
      <c r="H309" s="10">
        <f>SUM('BAU2050'!$X$26:$X$30)</f>
        <v>2390.6</v>
      </c>
      <c r="I309" s="17">
        <f t="shared" si="11"/>
        <v>0</v>
      </c>
      <c r="J309" s="17">
        <f t="shared" si="11"/>
        <v>0</v>
      </c>
      <c r="K309" s="17">
        <f t="shared" si="11"/>
        <v>0</v>
      </c>
      <c r="L309" s="281"/>
      <c r="M309" s="281"/>
      <c r="N309" s="281"/>
      <c r="O309" s="283"/>
      <c r="P309" s="283"/>
      <c r="Q309" s="283"/>
      <c r="R309" s="284"/>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row>
    <row r="310" spans="2:51">
      <c r="B310" s="53" t="s">
        <v>157</v>
      </c>
      <c r="C310" s="12">
        <f>'2018'!$X$15</f>
        <v>-130.94872402022855</v>
      </c>
      <c r="D310" s="12">
        <f>'BAU2030'!$X$15</f>
        <v>-988.62884322060302</v>
      </c>
      <c r="E310" s="12">
        <f>'BAU2050'!$X$15</f>
        <v>-474.44595351550436</v>
      </c>
      <c r="F310" s="12">
        <f>C310*'2018'!$A$87%</f>
        <v>-57.61743856890056</v>
      </c>
      <c r="G310" s="54">
        <f>D310*'BAU2030'!$A$87%</f>
        <v>-988.62884322060302</v>
      </c>
      <c r="H310" s="54">
        <f>E310*'BAU2050'!$A$87%</f>
        <v>-474.44595351550436</v>
      </c>
      <c r="I310" s="17">
        <f t="shared" si="11"/>
        <v>-73.331285451328</v>
      </c>
      <c r="J310" s="17">
        <f t="shared" si="11"/>
        <v>0</v>
      </c>
      <c r="K310" s="17">
        <f t="shared" si="11"/>
        <v>0</v>
      </c>
      <c r="L310" s="284"/>
      <c r="M310" s="284"/>
      <c r="N310" s="284"/>
      <c r="O310" s="283"/>
      <c r="P310" s="283"/>
      <c r="Q310" s="283"/>
      <c r="R310" s="284"/>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row>
    <row r="311" spans="2:51">
      <c r="B311" s="55" t="s">
        <v>147</v>
      </c>
      <c r="C311" s="56">
        <f t="shared" ref="C311:K311" si="12">SUM(C305:C310)</f>
        <v>9904.9512759797708</v>
      </c>
      <c r="D311" s="56">
        <f t="shared" si="12"/>
        <v>9451.6646041127296</v>
      </c>
      <c r="E311" s="56">
        <f t="shared" si="12"/>
        <v>8746.5428464844954</v>
      </c>
      <c r="F311" s="56">
        <f t="shared" si="12"/>
        <v>4888.5589614310993</v>
      </c>
      <c r="G311" s="57">
        <f t="shared" si="12"/>
        <v>5058.5244101127309</v>
      </c>
      <c r="H311" s="57">
        <f t="shared" si="12"/>
        <v>5480.9703264844948</v>
      </c>
      <c r="I311" s="56">
        <f t="shared" si="12"/>
        <v>5016.3923145486715</v>
      </c>
      <c r="J311" s="56">
        <f t="shared" si="12"/>
        <v>4393.1401939999996</v>
      </c>
      <c r="K311" s="56">
        <f t="shared" si="12"/>
        <v>3265.5725199999993</v>
      </c>
      <c r="L311" s="282"/>
      <c r="M311" s="282"/>
      <c r="N311" s="282"/>
      <c r="O311" s="283"/>
      <c r="P311" s="283"/>
      <c r="Q311" s="283"/>
      <c r="R311" s="282"/>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row>
    <row r="312" spans="2:51">
      <c r="F312" s="16"/>
      <c r="G312" s="16"/>
      <c r="H312" s="103"/>
      <c r="I312" s="28"/>
      <c r="J312" s="28"/>
      <c r="K312" s="28"/>
      <c r="L312" s="285"/>
      <c r="M312" s="285"/>
      <c r="N312" s="285"/>
      <c r="O312" s="285"/>
      <c r="P312" s="285"/>
      <c r="Q312" s="285"/>
      <c r="R312" s="285"/>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row>
    <row r="313" spans="2:51">
      <c r="C313" s="91"/>
      <c r="D313" s="91"/>
      <c r="E313" s="91"/>
      <c r="F313" s="91"/>
      <c r="G313" s="91"/>
      <c r="H313" s="91"/>
      <c r="I313" s="91"/>
      <c r="J313" s="91"/>
      <c r="K313" s="91"/>
      <c r="L313" s="286"/>
      <c r="M313" s="286"/>
      <c r="N313" s="286"/>
      <c r="O313" s="286"/>
      <c r="P313" s="286"/>
      <c r="Q313" s="286"/>
      <c r="R313" s="28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row>
    <row r="314" spans="2:51">
      <c r="B314" s="59" t="s">
        <v>158</v>
      </c>
      <c r="H314" s="104"/>
      <c r="I314" s="104"/>
      <c r="J314" s="104"/>
      <c r="K314" s="104"/>
      <c r="L314" s="104"/>
      <c r="M314" s="104"/>
      <c r="N314" s="104"/>
      <c r="O314" s="104"/>
      <c r="P314" s="104"/>
      <c r="Q314" s="28"/>
      <c r="R314" s="28"/>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row>
    <row r="315" spans="2:51">
      <c r="H315" s="28"/>
      <c r="I315" s="28"/>
      <c r="J315" s="28"/>
      <c r="K315" s="28"/>
      <c r="L315" s="28"/>
      <c r="M315" s="28"/>
      <c r="N315" s="28"/>
      <c r="O315" s="28"/>
      <c r="P315" s="28"/>
      <c r="Q315" s="28"/>
      <c r="R315" s="28"/>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row>
    <row r="316" spans="2:51">
      <c r="H316" s="28"/>
      <c r="I316" s="28"/>
      <c r="J316" s="28"/>
      <c r="K316" s="97"/>
      <c r="L316" s="97"/>
      <c r="M316" s="97"/>
      <c r="N316" s="97"/>
      <c r="O316" s="97"/>
      <c r="P316" s="97"/>
      <c r="Q316" s="28"/>
      <c r="R316" s="28"/>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row>
    <row r="317" spans="2:51">
      <c r="H317" s="28"/>
      <c r="I317" s="28"/>
      <c r="J317" s="105"/>
      <c r="K317" s="98"/>
      <c r="L317" s="98"/>
      <c r="M317" s="98"/>
      <c r="N317" s="98"/>
      <c r="O317" s="98"/>
      <c r="P317" s="98"/>
      <c r="Q317" s="28"/>
      <c r="R317" s="28"/>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row>
    <row r="318" spans="2:51">
      <c r="H318" s="28"/>
      <c r="I318" s="28"/>
      <c r="J318" s="98"/>
      <c r="K318" s="98"/>
      <c r="L318" s="98"/>
      <c r="M318" s="98"/>
      <c r="N318" s="98"/>
      <c r="O318" s="98"/>
      <c r="P318" s="98"/>
      <c r="Q318" s="28"/>
      <c r="R318" s="28"/>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row>
    <row r="319" spans="2:51">
      <c r="H319" s="28"/>
      <c r="I319" s="28"/>
      <c r="J319" s="28"/>
      <c r="K319" s="28"/>
      <c r="L319" s="28"/>
      <c r="M319" s="28"/>
      <c r="N319" s="28"/>
      <c r="O319" s="28"/>
      <c r="P319" s="28"/>
      <c r="Q319" s="28"/>
      <c r="R319" s="28"/>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row>
    <row r="320" spans="2:51">
      <c r="H320" s="28"/>
      <c r="I320" s="28"/>
      <c r="J320" s="28"/>
      <c r="K320" s="28"/>
      <c r="L320" s="28"/>
      <c r="M320" s="28"/>
      <c r="N320" s="28"/>
      <c r="O320" s="28"/>
      <c r="P320" s="28"/>
      <c r="Q320" s="28"/>
      <c r="R320" s="28"/>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row>
    <row r="321" spans="9:51">
      <c r="I321" s="28"/>
      <c r="J321" s="28"/>
      <c r="K321" s="28"/>
      <c r="L321" s="28"/>
      <c r="M321" s="28"/>
      <c r="N321" s="28"/>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c r="AY321" s="26"/>
    </row>
    <row r="322" spans="9:51">
      <c r="I322" s="28"/>
      <c r="J322" s="28"/>
      <c r="K322" s="28"/>
      <c r="L322" s="28"/>
      <c r="M322" s="28"/>
      <c r="N322" s="28"/>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row>
    <row r="323" spans="9:51">
      <c r="I323" s="28"/>
      <c r="J323" s="28"/>
      <c r="K323" s="28"/>
      <c r="L323" s="28"/>
      <c r="M323" s="28"/>
      <c r="N323" s="28"/>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c r="AY323" s="26"/>
    </row>
    <row r="324" spans="9:51">
      <c r="I324" s="28"/>
      <c r="J324" s="28"/>
      <c r="K324" s="28"/>
      <c r="L324" s="28"/>
      <c r="M324" s="28"/>
      <c r="N324" s="28"/>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c r="AY324" s="26"/>
    </row>
    <row r="325" spans="9:51">
      <c r="I325" s="28"/>
      <c r="J325" s="28"/>
      <c r="K325" s="28"/>
      <c r="L325" s="28"/>
      <c r="M325" s="28"/>
      <c r="N325" s="28"/>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c r="AY325" s="26"/>
    </row>
    <row r="326" spans="9:51">
      <c r="I326" s="28"/>
      <c r="J326" s="28"/>
      <c r="K326" s="28"/>
      <c r="L326" s="28"/>
      <c r="M326" s="28"/>
      <c r="N326" s="28"/>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c r="AY326" s="26"/>
    </row>
    <row r="327" spans="9:51">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c r="AY327" s="26"/>
    </row>
    <row r="328" spans="9:51">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c r="AY328" s="26"/>
    </row>
    <row r="329" spans="9:51">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c r="AY329" s="26"/>
    </row>
    <row r="330" spans="9:51">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c r="AY330" s="26"/>
    </row>
    <row r="331" spans="9:51">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c r="AY331" s="26"/>
    </row>
    <row r="332" spans="9:51">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c r="AY332" s="26"/>
    </row>
    <row r="333" spans="9:51">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c r="AY333" s="26"/>
    </row>
    <row r="334" spans="9:51">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c r="AY334" s="26"/>
    </row>
    <row r="335" spans="9:51">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c r="AY335" s="26"/>
    </row>
    <row r="336" spans="9:51">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c r="AY336" s="26"/>
    </row>
    <row r="337" spans="2:51">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c r="AY337" s="26"/>
    </row>
    <row r="338" spans="2:51">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c r="AY338" s="26"/>
    </row>
    <row r="339" spans="2:51">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c r="AY339" s="26"/>
    </row>
    <row r="340" spans="2:51">
      <c r="C340" s="60"/>
      <c r="D340" s="60"/>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c r="AY340" s="26"/>
    </row>
    <row r="341" spans="2:51">
      <c r="C341" s="60"/>
      <c r="D341" s="60"/>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c r="AY341" s="26"/>
    </row>
    <row r="342" spans="2:51">
      <c r="C342" s="60"/>
      <c r="D342" s="60"/>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c r="AY342" s="26"/>
    </row>
    <row r="343" spans="2:51">
      <c r="B343" s="59" t="s">
        <v>239</v>
      </c>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c r="AY343" s="26"/>
    </row>
    <row r="344" spans="2:51">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c r="AY344" s="26"/>
    </row>
    <row r="345" spans="2:51">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c r="AY345" s="26"/>
    </row>
    <row r="346" spans="2:51">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c r="AY346" s="26"/>
    </row>
    <row r="347" spans="2:51">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c r="AY347" s="26"/>
    </row>
    <row r="348" spans="2:51">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row>
    <row r="349" spans="2:51">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c r="AY349" s="26"/>
    </row>
    <row r="350" spans="2:51">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c r="AY350" s="26"/>
    </row>
    <row r="351" spans="2:51">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c r="AY351" s="26"/>
    </row>
    <row r="352" spans="2:51">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row>
    <row r="353" spans="19:51">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c r="AY353" s="26"/>
    </row>
    <row r="354" spans="19:51">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c r="AY354" s="26"/>
    </row>
    <row r="355" spans="19:51">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c r="AY355" s="26"/>
    </row>
    <row r="356" spans="19:51">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c r="AY356" s="26"/>
    </row>
    <row r="357" spans="19:51">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c r="AY357" s="26"/>
    </row>
    <row r="358" spans="19:51">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c r="AY358" s="26"/>
    </row>
    <row r="359" spans="19:51">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c r="AY359" s="26"/>
    </row>
    <row r="360" spans="19:51">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c r="AY360" s="26"/>
    </row>
    <row r="361" spans="19:51">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c r="AY361" s="26"/>
    </row>
    <row r="362" spans="19:51">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c r="AY362" s="26"/>
    </row>
    <row r="363" spans="19:51">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c r="AY363" s="26"/>
    </row>
    <row r="364" spans="19:51">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c r="AY364" s="26"/>
    </row>
    <row r="365" spans="19:51">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26"/>
      <c r="AW365" s="26"/>
      <c r="AX365" s="26"/>
      <c r="AY365" s="26"/>
    </row>
    <row r="366" spans="19:51">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c r="AY366" s="26"/>
    </row>
    <row r="367" spans="19:51">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c r="AY367" s="26"/>
    </row>
    <row r="368" spans="19:51">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c r="AY368" s="26"/>
    </row>
    <row r="369" spans="2:51">
      <c r="C369" s="60"/>
      <c r="D369" s="60"/>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c r="AY369" s="26"/>
    </row>
    <row r="370" spans="2:51">
      <c r="C370" s="60"/>
      <c r="D370" s="60"/>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c r="AY370" s="26"/>
    </row>
    <row r="371" spans="2:51">
      <c r="C371" s="60"/>
      <c r="D371" s="60"/>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c r="AY371" s="26"/>
    </row>
    <row r="372" spans="2:51">
      <c r="B372" s="59" t="s">
        <v>159</v>
      </c>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c r="AY372" s="26"/>
    </row>
    <row r="373" spans="2:51">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c r="AY373" s="26"/>
    </row>
    <row r="374" spans="2:51">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c r="AY374" s="26"/>
    </row>
    <row r="375" spans="2:51">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c r="AY375" s="26"/>
    </row>
    <row r="376" spans="2:51">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c r="AY376" s="26"/>
    </row>
    <row r="377" spans="2:51">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c r="AY377" s="26"/>
    </row>
    <row r="378" spans="2:51">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c r="AY378" s="26"/>
    </row>
    <row r="379" spans="2:51">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c r="AY379" s="26"/>
    </row>
    <row r="380" spans="2:51">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c r="AY380" s="26"/>
    </row>
    <row r="381" spans="2:51">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c r="AY381" s="26"/>
    </row>
    <row r="382" spans="2:51">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c r="AY382" s="26"/>
    </row>
    <row r="383" spans="2:51">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c r="AY383" s="26"/>
    </row>
    <row r="384" spans="2:51">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c r="AY384" s="26"/>
    </row>
    <row r="385" spans="19:51">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26"/>
      <c r="AW385" s="26"/>
      <c r="AX385" s="26"/>
      <c r="AY385" s="26"/>
    </row>
    <row r="386" spans="19:51">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c r="AY386" s="26"/>
    </row>
    <row r="387" spans="19:51">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c r="AY387" s="26"/>
    </row>
    <row r="388" spans="19:51">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c r="AY388" s="26"/>
    </row>
    <row r="389" spans="19:51">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c r="AY389" s="26"/>
    </row>
    <row r="390" spans="19:51">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c r="AY390" s="26"/>
    </row>
    <row r="391" spans="19:51">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c r="AY391" s="26"/>
    </row>
    <row r="392" spans="19:51">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c r="AY392" s="26"/>
    </row>
    <row r="393" spans="19:51">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c r="AY393" s="26"/>
    </row>
    <row r="394" spans="19:51">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row>
    <row r="395" spans="19:51">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row>
    <row r="396" spans="19:51">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row>
    <row r="397" spans="19:51">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row>
    <row r="398" spans="19:51">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row>
    <row r="399" spans="19:51">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c r="AY399" s="26"/>
    </row>
    <row r="400" spans="19:51">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row>
    <row r="401" spans="2:51">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c r="AY401" s="26"/>
    </row>
    <row r="402" spans="2:51">
      <c r="D402" s="37" t="s">
        <v>129</v>
      </c>
      <c r="E402" s="37" t="s">
        <v>129</v>
      </c>
      <c r="S402" s="26"/>
      <c r="T402" s="26"/>
      <c r="U402" s="26"/>
      <c r="V402" s="26"/>
      <c r="W402" s="26"/>
      <c r="X402" s="26"/>
      <c r="Y402" s="26"/>
      <c r="Z402" s="26"/>
      <c r="AA402" s="26"/>
      <c r="AB402" s="26"/>
      <c r="AC402" s="26"/>
      <c r="AD402" s="26"/>
      <c r="AE402" s="26"/>
      <c r="AF402" s="26"/>
      <c r="AG402" s="26"/>
      <c r="AH402" s="26"/>
      <c r="AI402" s="26"/>
      <c r="AJ402" s="26"/>
      <c r="AK402" s="26"/>
      <c r="AL402" s="26"/>
      <c r="AM402" s="26"/>
      <c r="AN402" s="26"/>
      <c r="AO402" s="26"/>
      <c r="AP402" s="26"/>
      <c r="AQ402" s="26"/>
      <c r="AR402" s="26"/>
      <c r="AS402" s="26"/>
      <c r="AT402" s="26"/>
      <c r="AU402" s="26"/>
      <c r="AV402" s="26"/>
      <c r="AW402" s="26"/>
      <c r="AX402" s="26"/>
      <c r="AY402" s="26"/>
    </row>
    <row r="403" spans="2:51">
      <c r="B403" s="61" t="s">
        <v>160</v>
      </c>
      <c r="C403" s="62"/>
      <c r="D403" s="37" t="s">
        <v>139</v>
      </c>
      <c r="E403" s="37" t="s">
        <v>130</v>
      </c>
      <c r="S403" s="26"/>
      <c r="T403" s="26"/>
      <c r="U403" s="26"/>
      <c r="V403" s="26"/>
      <c r="W403" s="26"/>
      <c r="X403" s="26"/>
      <c r="Y403" s="26"/>
      <c r="Z403" s="26"/>
      <c r="AA403" s="26"/>
      <c r="AB403" s="26"/>
      <c r="AC403" s="26"/>
      <c r="AD403" s="26"/>
      <c r="AE403" s="26"/>
      <c r="AF403" s="26"/>
      <c r="AG403" s="26"/>
      <c r="AH403" s="26"/>
      <c r="AI403" s="26"/>
      <c r="AJ403" s="26"/>
      <c r="AK403" s="26"/>
      <c r="AL403" s="26"/>
      <c r="AM403" s="26"/>
      <c r="AN403" s="26"/>
      <c r="AO403" s="26"/>
      <c r="AP403" s="26"/>
      <c r="AQ403" s="26"/>
      <c r="AR403" s="26"/>
      <c r="AS403" s="26"/>
      <c r="AT403" s="26"/>
      <c r="AU403" s="26"/>
      <c r="AV403" s="26"/>
      <c r="AW403" s="26"/>
      <c r="AX403" s="26"/>
      <c r="AY403" s="26"/>
    </row>
    <row r="404" spans="2:51">
      <c r="B404" s="454" t="s">
        <v>153</v>
      </c>
      <c r="C404" s="30">
        <v>2018</v>
      </c>
      <c r="D404" s="12">
        <f>Grafer!F305</f>
        <v>871</v>
      </c>
      <c r="E404" s="12">
        <f>Grafer!I305</f>
        <v>503.20000000000005</v>
      </c>
      <c r="S404" s="26"/>
      <c r="T404" s="26"/>
      <c r="U404" s="26"/>
      <c r="V404" s="26"/>
      <c r="W404" s="26"/>
      <c r="X404" s="26"/>
      <c r="Y404" s="26"/>
      <c r="Z404" s="26"/>
      <c r="AA404" s="26"/>
      <c r="AB404" s="26"/>
      <c r="AC404" s="26"/>
      <c r="AD404" s="26"/>
      <c r="AE404" s="26"/>
      <c r="AF404" s="26"/>
      <c r="AG404" s="26"/>
      <c r="AH404" s="26"/>
      <c r="AI404" s="26"/>
      <c r="AJ404" s="26"/>
      <c r="AK404" s="26"/>
      <c r="AL404" s="26"/>
      <c r="AM404" s="26"/>
      <c r="AN404" s="26"/>
      <c r="AO404" s="26"/>
      <c r="AP404" s="26"/>
      <c r="AQ404" s="26"/>
      <c r="AR404" s="26"/>
      <c r="AS404" s="26"/>
      <c r="AT404" s="26"/>
      <c r="AU404" s="26"/>
      <c r="AV404" s="26"/>
      <c r="AW404" s="26"/>
      <c r="AX404" s="26"/>
      <c r="AY404" s="26"/>
    </row>
    <row r="405" spans="2:51">
      <c r="B405" s="455"/>
      <c r="C405" s="63" t="s">
        <v>240</v>
      </c>
      <c r="D405" s="12">
        <f>Grafer!N305</f>
        <v>0</v>
      </c>
      <c r="E405" s="12">
        <f>Grafer!T305</f>
        <v>0</v>
      </c>
      <c r="G405" s="81"/>
      <c r="S405" s="26"/>
      <c r="T405" s="26"/>
      <c r="U405" s="26"/>
      <c r="V405" s="26"/>
      <c r="W405" s="26"/>
      <c r="X405" s="26"/>
      <c r="Y405" s="26"/>
      <c r="Z405" s="26"/>
      <c r="AA405" s="26"/>
      <c r="AB405" s="26"/>
      <c r="AC405" s="26"/>
      <c r="AD405" s="26"/>
      <c r="AE405" s="26"/>
      <c r="AF405" s="26"/>
      <c r="AG405" s="26"/>
      <c r="AH405" s="26"/>
      <c r="AI405" s="26"/>
      <c r="AJ405" s="26"/>
      <c r="AK405" s="26"/>
      <c r="AL405" s="26"/>
      <c r="AM405" s="26"/>
      <c r="AN405" s="26"/>
      <c r="AO405" s="26"/>
      <c r="AP405" s="26"/>
      <c r="AQ405" s="26"/>
      <c r="AR405" s="26"/>
      <c r="AS405" s="26"/>
      <c r="AT405" s="26"/>
      <c r="AU405" s="26"/>
      <c r="AV405" s="26"/>
      <c r="AW405" s="26"/>
      <c r="AX405" s="26"/>
      <c r="AY405" s="26"/>
    </row>
    <row r="406" spans="2:51">
      <c r="B406" s="454" t="s">
        <v>154</v>
      </c>
      <c r="C406" s="30">
        <v>2018</v>
      </c>
      <c r="D406" s="12">
        <f>Grafer!F306</f>
        <v>2688.0000000000005</v>
      </c>
      <c r="E406" s="12">
        <f>Grafer!I306</f>
        <v>202.39999999999964</v>
      </c>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26"/>
      <c r="AW406" s="26"/>
      <c r="AX406" s="26"/>
      <c r="AY406" s="26"/>
    </row>
    <row r="407" spans="2:51">
      <c r="B407" s="455"/>
      <c r="C407" s="63" t="s">
        <v>240</v>
      </c>
      <c r="D407" s="12">
        <f>Grafer!N306</f>
        <v>0</v>
      </c>
      <c r="E407" s="12">
        <f>Grafer!T306</f>
        <v>0</v>
      </c>
      <c r="S407" s="26"/>
      <c r="T407" s="26"/>
      <c r="U407" s="26"/>
      <c r="V407" s="26"/>
      <c r="W407" s="26"/>
      <c r="X407" s="26"/>
      <c r="Y407" s="26"/>
      <c r="Z407" s="26"/>
      <c r="AA407" s="26"/>
      <c r="AB407" s="26"/>
      <c r="AC407" s="26"/>
      <c r="AD407" s="26"/>
      <c r="AE407" s="26"/>
      <c r="AF407" s="26"/>
      <c r="AG407" s="26"/>
      <c r="AH407" s="26"/>
      <c r="AI407" s="26"/>
      <c r="AJ407" s="26"/>
      <c r="AK407" s="26"/>
      <c r="AL407" s="26"/>
      <c r="AM407" s="26"/>
      <c r="AN407" s="26"/>
      <c r="AO407" s="26"/>
      <c r="AP407" s="26"/>
      <c r="AQ407" s="26"/>
      <c r="AR407" s="26"/>
      <c r="AS407" s="26"/>
      <c r="AT407" s="26"/>
      <c r="AU407" s="26"/>
      <c r="AV407" s="26"/>
      <c r="AW407" s="26"/>
      <c r="AX407" s="26"/>
      <c r="AY407" s="26"/>
    </row>
    <row r="408" spans="2:51">
      <c r="B408" s="454" t="s">
        <v>155</v>
      </c>
      <c r="C408" s="30">
        <v>2018</v>
      </c>
      <c r="D408" s="12">
        <f>Grafer!F307</f>
        <v>1</v>
      </c>
      <c r="E408" s="12">
        <f>Grafer!I307</f>
        <v>769.9</v>
      </c>
      <c r="S408" s="26"/>
      <c r="T408" s="26"/>
      <c r="U408" s="26"/>
      <c r="V408" s="26"/>
      <c r="W408" s="26"/>
      <c r="X408" s="26"/>
      <c r="Y408" s="26"/>
      <c r="Z408" s="26"/>
      <c r="AA408" s="26"/>
      <c r="AB408" s="26"/>
      <c r="AC408" s="26"/>
      <c r="AD408" s="26"/>
      <c r="AE408" s="26"/>
      <c r="AF408" s="26"/>
      <c r="AG408" s="26"/>
      <c r="AH408" s="26"/>
      <c r="AI408" s="26"/>
      <c r="AJ408" s="26"/>
      <c r="AK408" s="26"/>
      <c r="AL408" s="26"/>
      <c r="AM408" s="26"/>
      <c r="AN408" s="26"/>
      <c r="AO408" s="26"/>
      <c r="AP408" s="26"/>
      <c r="AQ408" s="26"/>
      <c r="AR408" s="26"/>
      <c r="AS408" s="26"/>
      <c r="AT408" s="26"/>
      <c r="AU408" s="26"/>
      <c r="AV408" s="26"/>
      <c r="AW408" s="26"/>
      <c r="AX408" s="26"/>
      <c r="AY408" s="26"/>
    </row>
    <row r="409" spans="2:51">
      <c r="B409" s="455"/>
      <c r="C409" s="63" t="s">
        <v>240</v>
      </c>
      <c r="D409" s="12">
        <f>Grafer!N307</f>
        <v>0</v>
      </c>
      <c r="E409" s="12">
        <f>Grafer!T307</f>
        <v>0</v>
      </c>
      <c r="S409" s="26"/>
      <c r="T409" s="26"/>
      <c r="U409" s="26"/>
      <c r="V409" s="26"/>
      <c r="W409" s="26"/>
      <c r="X409" s="26"/>
      <c r="Y409" s="26"/>
      <c r="Z409" s="26"/>
      <c r="AA409" s="26"/>
      <c r="AB409" s="26"/>
      <c r="AC409" s="26"/>
      <c r="AD409" s="26"/>
      <c r="AE409" s="26"/>
      <c r="AF409" s="26"/>
      <c r="AG409" s="26"/>
      <c r="AH409" s="26"/>
      <c r="AI409" s="26"/>
      <c r="AJ409" s="26"/>
      <c r="AK409" s="26"/>
      <c r="AL409" s="26"/>
      <c r="AM409" s="26"/>
      <c r="AN409" s="26"/>
      <c r="AO409" s="26"/>
      <c r="AP409" s="26"/>
      <c r="AQ409" s="26"/>
      <c r="AR409" s="26"/>
      <c r="AS409" s="26"/>
      <c r="AT409" s="26"/>
      <c r="AU409" s="26"/>
      <c r="AV409" s="26"/>
      <c r="AW409" s="26"/>
      <c r="AX409" s="26"/>
      <c r="AY409" s="26"/>
    </row>
    <row r="410" spans="2:51">
      <c r="B410" s="454" t="s">
        <v>156</v>
      </c>
      <c r="C410" s="30">
        <v>2018</v>
      </c>
      <c r="D410" s="12">
        <f>Grafer!F308</f>
        <v>134.57640000000001</v>
      </c>
      <c r="E410" s="12">
        <f>Grafer!I308</f>
        <v>3614.2236000000003</v>
      </c>
      <c r="S410" s="26"/>
      <c r="T410" s="26"/>
      <c r="U410" s="26"/>
      <c r="V410" s="26"/>
      <c r="W410" s="26"/>
      <c r="X410" s="26"/>
      <c r="Y410" s="26"/>
      <c r="Z410" s="26"/>
      <c r="AA410" s="26"/>
      <c r="AB410" s="26"/>
      <c r="AC410" s="26"/>
      <c r="AD410" s="26"/>
      <c r="AE410" s="26"/>
      <c r="AF410" s="26"/>
      <c r="AG410" s="26"/>
      <c r="AH410" s="26"/>
      <c r="AI410" s="26"/>
      <c r="AJ410" s="26"/>
      <c r="AK410" s="26"/>
      <c r="AL410" s="26"/>
      <c r="AM410" s="26"/>
      <c r="AN410" s="26"/>
      <c r="AO410" s="26"/>
      <c r="AP410" s="26"/>
      <c r="AQ410" s="26"/>
      <c r="AR410" s="26"/>
      <c r="AS410" s="26"/>
      <c r="AT410" s="26"/>
      <c r="AU410" s="26"/>
      <c r="AV410" s="26"/>
      <c r="AW410" s="26"/>
      <c r="AX410" s="26"/>
      <c r="AY410" s="26"/>
    </row>
    <row r="411" spans="2:51">
      <c r="B411" s="455"/>
      <c r="C411" s="63" t="s">
        <v>240</v>
      </c>
      <c r="D411" s="12">
        <f>Grafer!N308</f>
        <v>0</v>
      </c>
      <c r="E411" s="12">
        <f>Grafer!T308</f>
        <v>0</v>
      </c>
      <c r="S411" s="26"/>
      <c r="T411" s="26"/>
      <c r="U411" s="26"/>
      <c r="V411" s="26"/>
      <c r="W411" s="26"/>
      <c r="X411" s="26"/>
      <c r="Y411" s="26"/>
      <c r="Z411" s="26"/>
      <c r="AA411" s="26"/>
      <c r="AB411" s="26"/>
      <c r="AC411" s="26"/>
      <c r="AD411" s="26"/>
      <c r="AE411" s="26"/>
      <c r="AF411" s="26"/>
      <c r="AG411" s="26"/>
      <c r="AH411" s="26"/>
      <c r="AI411" s="26"/>
      <c r="AJ411" s="26"/>
      <c r="AK411" s="26"/>
      <c r="AL411" s="26"/>
      <c r="AM411" s="26"/>
      <c r="AN411" s="26"/>
      <c r="AO411" s="26"/>
      <c r="AP411" s="26"/>
      <c r="AQ411" s="26"/>
      <c r="AR411" s="26"/>
      <c r="AS411" s="26"/>
      <c r="AT411" s="26"/>
      <c r="AU411" s="26"/>
      <c r="AV411" s="26"/>
      <c r="AW411" s="26"/>
      <c r="AX411" s="26"/>
      <c r="AY411" s="26"/>
    </row>
    <row r="412" spans="2:51">
      <c r="B412" s="454" t="s">
        <v>207</v>
      </c>
      <c r="C412" s="30">
        <v>2018</v>
      </c>
      <c r="D412" s="12">
        <f>Grafer!F309</f>
        <v>1251.5999999999999</v>
      </c>
      <c r="E412" s="12">
        <f>Grafer!I309</f>
        <v>0</v>
      </c>
      <c r="S412" s="26"/>
      <c r="T412" s="26"/>
      <c r="U412" s="26"/>
      <c r="V412" s="26"/>
      <c r="W412" s="26"/>
      <c r="X412" s="26"/>
      <c r="Y412" s="26"/>
      <c r="Z412" s="26"/>
      <c r="AA412" s="26"/>
      <c r="AB412" s="26"/>
      <c r="AC412" s="26"/>
      <c r="AD412" s="26"/>
      <c r="AE412" s="26"/>
      <c r="AF412" s="26"/>
      <c r="AG412" s="26"/>
      <c r="AH412" s="26"/>
      <c r="AI412" s="26"/>
      <c r="AJ412" s="26"/>
      <c r="AK412" s="26"/>
      <c r="AL412" s="26"/>
      <c r="AM412" s="26"/>
      <c r="AN412" s="26"/>
      <c r="AO412" s="26"/>
      <c r="AP412" s="26"/>
      <c r="AQ412" s="26"/>
      <c r="AR412" s="26"/>
      <c r="AS412" s="26"/>
      <c r="AT412" s="26"/>
      <c r="AU412" s="26"/>
      <c r="AV412" s="26"/>
      <c r="AW412" s="26"/>
      <c r="AX412" s="26"/>
      <c r="AY412" s="26"/>
    </row>
    <row r="413" spans="2:51">
      <c r="B413" s="455"/>
      <c r="C413" s="63" t="s">
        <v>240</v>
      </c>
      <c r="D413" s="12">
        <f>Grafer!N309</f>
        <v>0</v>
      </c>
      <c r="E413" s="12">
        <f>Grafer!T309</f>
        <v>0</v>
      </c>
      <c r="S413" s="26"/>
      <c r="T413" s="26"/>
      <c r="U413" s="26"/>
      <c r="V413" s="26"/>
      <c r="W413" s="26"/>
      <c r="X413" s="26"/>
      <c r="Y413" s="26"/>
      <c r="Z413" s="26"/>
      <c r="AA413" s="26"/>
      <c r="AB413" s="26"/>
      <c r="AC413" s="26"/>
      <c r="AD413" s="26"/>
      <c r="AE413" s="26"/>
      <c r="AF413" s="26"/>
      <c r="AG413" s="26"/>
      <c r="AH413" s="26"/>
      <c r="AI413" s="26"/>
      <c r="AJ413" s="26"/>
      <c r="AK413" s="26"/>
      <c r="AL413" s="26"/>
      <c r="AM413" s="26"/>
      <c r="AN413" s="26"/>
      <c r="AO413" s="26"/>
      <c r="AP413" s="26"/>
      <c r="AQ413" s="26"/>
      <c r="AR413" s="26"/>
      <c r="AS413" s="26"/>
      <c r="AT413" s="26"/>
      <c r="AU413" s="26"/>
      <c r="AV413" s="26"/>
      <c r="AW413" s="26"/>
      <c r="AX413" s="26"/>
      <c r="AY413" s="26"/>
    </row>
    <row r="414" spans="2:51">
      <c r="B414" s="454" t="s">
        <v>157</v>
      </c>
      <c r="C414" s="30">
        <v>2018</v>
      </c>
      <c r="D414" s="12">
        <f>Grafer!F310</f>
        <v>-57.61743856890056</v>
      </c>
      <c r="E414" s="12">
        <f>Grafer!I310</f>
        <v>-73.331285451328</v>
      </c>
      <c r="S414" s="26"/>
      <c r="T414" s="26"/>
      <c r="U414" s="26"/>
      <c r="V414" s="26"/>
      <c r="W414" s="26"/>
      <c r="X414" s="26"/>
      <c r="Y414" s="26"/>
      <c r="Z414" s="26"/>
      <c r="AA414" s="26"/>
      <c r="AB414" s="26"/>
      <c r="AC414" s="26"/>
      <c r="AD414" s="26"/>
      <c r="AE414" s="26"/>
      <c r="AF414" s="26"/>
      <c r="AG414" s="26"/>
      <c r="AH414" s="26"/>
      <c r="AI414" s="26"/>
      <c r="AJ414" s="26"/>
      <c r="AK414" s="26"/>
      <c r="AL414" s="26"/>
      <c r="AM414" s="26"/>
      <c r="AN414" s="26"/>
      <c r="AO414" s="26"/>
      <c r="AP414" s="26"/>
      <c r="AQ414" s="26"/>
      <c r="AR414" s="26"/>
      <c r="AS414" s="26"/>
      <c r="AT414" s="26"/>
      <c r="AU414" s="26"/>
      <c r="AV414" s="26"/>
      <c r="AW414" s="26"/>
      <c r="AX414" s="26"/>
      <c r="AY414" s="26"/>
    </row>
    <row r="415" spans="2:51">
      <c r="B415" s="455"/>
      <c r="C415" s="63" t="s">
        <v>240</v>
      </c>
      <c r="D415" s="12">
        <f>Grafer!N310</f>
        <v>0</v>
      </c>
      <c r="E415" s="12">
        <f>Grafer!T310</f>
        <v>0</v>
      </c>
      <c r="S415" s="26"/>
      <c r="T415" s="26"/>
      <c r="U415" s="26"/>
      <c r="V415" s="26"/>
      <c r="W415" s="26"/>
      <c r="X415" s="26"/>
      <c r="Y415" s="26"/>
      <c r="Z415" s="26"/>
      <c r="AA415" s="26"/>
      <c r="AB415" s="26"/>
      <c r="AC415" s="26"/>
      <c r="AD415" s="26"/>
      <c r="AE415" s="26"/>
      <c r="AF415" s="26"/>
      <c r="AG415" s="26"/>
      <c r="AH415" s="26"/>
      <c r="AI415" s="26"/>
      <c r="AJ415" s="26"/>
      <c r="AK415" s="26"/>
      <c r="AL415" s="26"/>
      <c r="AM415" s="26"/>
      <c r="AN415" s="26"/>
      <c r="AO415" s="26"/>
      <c r="AP415" s="26"/>
      <c r="AQ415" s="26"/>
      <c r="AR415" s="26"/>
      <c r="AS415" s="26"/>
      <c r="AT415" s="26"/>
      <c r="AU415" s="26"/>
      <c r="AV415" s="26"/>
      <c r="AW415" s="26"/>
      <c r="AX415" s="26"/>
      <c r="AY415" s="26"/>
    </row>
    <row r="416" spans="2:51">
      <c r="B416" s="64"/>
      <c r="C416" s="65"/>
      <c r="D416" s="46"/>
      <c r="E416" s="4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c r="AO416" s="26"/>
      <c r="AP416" s="26"/>
      <c r="AQ416" s="26"/>
      <c r="AR416" s="26"/>
      <c r="AS416" s="26"/>
      <c r="AT416" s="26"/>
      <c r="AU416" s="26"/>
      <c r="AV416" s="26"/>
      <c r="AW416" s="26"/>
      <c r="AX416" s="26"/>
      <c r="AY416" s="26"/>
    </row>
    <row r="417" spans="2:51">
      <c r="B417" s="64"/>
      <c r="C417" s="65"/>
      <c r="D417" s="46"/>
      <c r="E417" s="4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c r="AO417" s="26"/>
      <c r="AP417" s="26"/>
      <c r="AQ417" s="26"/>
      <c r="AR417" s="26"/>
      <c r="AS417" s="26"/>
      <c r="AT417" s="26"/>
      <c r="AU417" s="26"/>
      <c r="AV417" s="26"/>
      <c r="AW417" s="26"/>
      <c r="AX417" s="26"/>
      <c r="AY417" s="26"/>
    </row>
    <row r="418" spans="2:51">
      <c r="B418" s="59" t="s">
        <v>160</v>
      </c>
      <c r="C418" s="65"/>
      <c r="D418" s="46"/>
      <c r="E418" s="4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c r="AO418" s="26"/>
      <c r="AP418" s="26"/>
      <c r="AQ418" s="26"/>
      <c r="AR418" s="26"/>
      <c r="AS418" s="26"/>
      <c r="AT418" s="26"/>
      <c r="AU418" s="26"/>
      <c r="AV418" s="26"/>
      <c r="AW418" s="26"/>
      <c r="AX418" s="26"/>
      <c r="AY418" s="26"/>
    </row>
    <row r="419" spans="2:51">
      <c r="S419" s="26"/>
      <c r="T419" s="26"/>
      <c r="U419" s="26"/>
      <c r="V419" s="26"/>
      <c r="W419" s="26"/>
      <c r="X419" s="26"/>
      <c r="Y419" s="26"/>
      <c r="Z419" s="26"/>
      <c r="AA419" s="26"/>
      <c r="AB419" s="26"/>
      <c r="AC419" s="26"/>
      <c r="AD419" s="26"/>
      <c r="AE419" s="26"/>
      <c r="AF419" s="26"/>
      <c r="AG419" s="26"/>
      <c r="AH419" s="26"/>
      <c r="AI419" s="26"/>
      <c r="AJ419" s="26"/>
      <c r="AK419" s="26"/>
      <c r="AL419" s="26"/>
      <c r="AM419" s="26"/>
      <c r="AN419" s="26"/>
      <c r="AO419" s="26"/>
      <c r="AP419" s="26"/>
      <c r="AQ419" s="26"/>
      <c r="AR419" s="26"/>
      <c r="AS419" s="26"/>
      <c r="AT419" s="26"/>
      <c r="AU419" s="26"/>
      <c r="AV419" s="26"/>
      <c r="AW419" s="26"/>
      <c r="AX419" s="26"/>
      <c r="AY419" s="26"/>
    </row>
    <row r="420" spans="2:51">
      <c r="S420" s="26"/>
      <c r="T420" s="26"/>
      <c r="U420" s="26"/>
      <c r="V420" s="26"/>
      <c r="W420" s="26"/>
      <c r="X420" s="26"/>
      <c r="Y420" s="26"/>
      <c r="Z420" s="26"/>
      <c r="AA420" s="26"/>
      <c r="AB420" s="26"/>
      <c r="AC420" s="26"/>
      <c r="AD420" s="26"/>
      <c r="AE420" s="26"/>
      <c r="AF420" s="26"/>
      <c r="AG420" s="26"/>
      <c r="AH420" s="26"/>
      <c r="AI420" s="26"/>
      <c r="AJ420" s="26"/>
      <c r="AK420" s="26"/>
      <c r="AL420" s="26"/>
      <c r="AM420" s="26"/>
      <c r="AN420" s="26"/>
      <c r="AO420" s="26"/>
      <c r="AP420" s="26"/>
      <c r="AQ420" s="26"/>
      <c r="AR420" s="26"/>
      <c r="AS420" s="26"/>
      <c r="AT420" s="26"/>
      <c r="AU420" s="26"/>
      <c r="AV420" s="26"/>
      <c r="AW420" s="26"/>
      <c r="AX420" s="26"/>
      <c r="AY420" s="26"/>
    </row>
    <row r="421" spans="2:51">
      <c r="S421" s="26"/>
      <c r="T421" s="26"/>
      <c r="U421" s="26"/>
      <c r="V421" s="26"/>
      <c r="W421" s="26"/>
      <c r="X421" s="26"/>
      <c r="Y421" s="26"/>
      <c r="Z421" s="26"/>
      <c r="AA421" s="26"/>
      <c r="AB421" s="26"/>
      <c r="AC421" s="26"/>
      <c r="AD421" s="26"/>
      <c r="AE421" s="26"/>
      <c r="AF421" s="26"/>
      <c r="AG421" s="26"/>
      <c r="AH421" s="26"/>
      <c r="AI421" s="26"/>
      <c r="AJ421" s="26"/>
      <c r="AK421" s="26"/>
      <c r="AL421" s="26"/>
      <c r="AM421" s="26"/>
      <c r="AN421" s="26"/>
      <c r="AO421" s="26"/>
      <c r="AP421" s="26"/>
      <c r="AQ421" s="26"/>
      <c r="AR421" s="26"/>
      <c r="AS421" s="26"/>
      <c r="AT421" s="26"/>
      <c r="AU421" s="26"/>
      <c r="AV421" s="26"/>
      <c r="AW421" s="26"/>
      <c r="AX421" s="26"/>
      <c r="AY421" s="26"/>
    </row>
    <row r="422" spans="2:51">
      <c r="S422" s="26"/>
      <c r="T422" s="26"/>
      <c r="U422" s="26"/>
      <c r="V422" s="26"/>
      <c r="W422" s="26"/>
      <c r="X422" s="26"/>
      <c r="Y422" s="26"/>
      <c r="Z422" s="26"/>
      <c r="AA422" s="26"/>
      <c r="AB422" s="26"/>
      <c r="AC422" s="26"/>
      <c r="AD422" s="26"/>
      <c r="AE422" s="26"/>
      <c r="AF422" s="26"/>
      <c r="AG422" s="26"/>
      <c r="AH422" s="26"/>
      <c r="AI422" s="26"/>
      <c r="AJ422" s="26"/>
      <c r="AK422" s="26"/>
      <c r="AL422" s="26"/>
      <c r="AM422" s="26"/>
      <c r="AN422" s="26"/>
      <c r="AO422" s="26"/>
      <c r="AP422" s="26"/>
      <c r="AQ422" s="26"/>
      <c r="AR422" s="26"/>
      <c r="AS422" s="26"/>
      <c r="AT422" s="26"/>
      <c r="AU422" s="26"/>
      <c r="AV422" s="26"/>
      <c r="AW422" s="26"/>
      <c r="AX422" s="26"/>
      <c r="AY422" s="26"/>
    </row>
    <row r="423" spans="2:51">
      <c r="S423" s="26"/>
      <c r="T423" s="26"/>
      <c r="U423" s="26"/>
      <c r="V423" s="26"/>
      <c r="W423" s="26"/>
      <c r="X423" s="26"/>
      <c r="Y423" s="26"/>
      <c r="Z423" s="26"/>
      <c r="AA423" s="26"/>
      <c r="AB423" s="26"/>
      <c r="AC423" s="26"/>
      <c r="AD423" s="26"/>
      <c r="AE423" s="26"/>
      <c r="AF423" s="26"/>
      <c r="AG423" s="26"/>
      <c r="AH423" s="26"/>
      <c r="AI423" s="26"/>
      <c r="AJ423" s="26"/>
      <c r="AK423" s="26"/>
      <c r="AL423" s="26"/>
      <c r="AM423" s="26"/>
      <c r="AN423" s="26"/>
      <c r="AO423" s="26"/>
      <c r="AP423" s="26"/>
      <c r="AQ423" s="26"/>
      <c r="AR423" s="26"/>
      <c r="AS423" s="26"/>
      <c r="AT423" s="26"/>
      <c r="AU423" s="26"/>
      <c r="AV423" s="26"/>
      <c r="AW423" s="26"/>
      <c r="AX423" s="26"/>
      <c r="AY423" s="26"/>
    </row>
    <row r="424" spans="2:51">
      <c r="S424" s="26"/>
      <c r="T424" s="26"/>
      <c r="U424" s="26"/>
      <c r="V424" s="26"/>
      <c r="W424" s="26"/>
      <c r="X424" s="26"/>
      <c r="Y424" s="26"/>
      <c r="Z424" s="26"/>
      <c r="AA424" s="26"/>
      <c r="AB424" s="26"/>
      <c r="AC424" s="26"/>
      <c r="AD424" s="26"/>
      <c r="AE424" s="26"/>
      <c r="AF424" s="26"/>
      <c r="AG424" s="26"/>
      <c r="AH424" s="26"/>
      <c r="AI424" s="26"/>
      <c r="AJ424" s="26"/>
      <c r="AK424" s="26"/>
      <c r="AL424" s="26"/>
      <c r="AM424" s="26"/>
      <c r="AN424" s="26"/>
      <c r="AO424" s="26"/>
      <c r="AP424" s="26"/>
      <c r="AQ424" s="26"/>
      <c r="AR424" s="26"/>
      <c r="AS424" s="26"/>
      <c r="AT424" s="26"/>
      <c r="AU424" s="26"/>
      <c r="AV424" s="26"/>
      <c r="AW424" s="26"/>
      <c r="AX424" s="26"/>
      <c r="AY424" s="26"/>
    </row>
    <row r="425" spans="2:51">
      <c r="S425" s="26"/>
      <c r="T425" s="26"/>
      <c r="U425" s="26"/>
      <c r="V425" s="26"/>
      <c r="W425" s="26"/>
      <c r="X425" s="26"/>
      <c r="Y425" s="26"/>
      <c r="Z425" s="26"/>
      <c r="AA425" s="26"/>
      <c r="AB425" s="26"/>
      <c r="AC425" s="26"/>
      <c r="AD425" s="26"/>
      <c r="AE425" s="26"/>
      <c r="AF425" s="26"/>
      <c r="AG425" s="26"/>
      <c r="AH425" s="26"/>
      <c r="AI425" s="26"/>
      <c r="AJ425" s="26"/>
      <c r="AK425" s="26"/>
      <c r="AL425" s="26"/>
      <c r="AM425" s="26"/>
      <c r="AN425" s="26"/>
      <c r="AO425" s="26"/>
      <c r="AP425" s="26"/>
      <c r="AQ425" s="26"/>
      <c r="AR425" s="26"/>
      <c r="AS425" s="26"/>
      <c r="AT425" s="26"/>
      <c r="AU425" s="26"/>
      <c r="AV425" s="26"/>
      <c r="AW425" s="26"/>
      <c r="AX425" s="26"/>
      <c r="AY425" s="26"/>
    </row>
    <row r="426" spans="2:51">
      <c r="S426" s="26"/>
      <c r="T426" s="26"/>
      <c r="U426" s="26"/>
      <c r="V426" s="26"/>
      <c r="W426" s="26"/>
      <c r="X426" s="26"/>
      <c r="Y426" s="26"/>
      <c r="Z426" s="26"/>
      <c r="AA426" s="26"/>
      <c r="AB426" s="26"/>
      <c r="AC426" s="26"/>
      <c r="AD426" s="26"/>
      <c r="AE426" s="26"/>
      <c r="AF426" s="26"/>
      <c r="AG426" s="26"/>
      <c r="AH426" s="26"/>
      <c r="AI426" s="26"/>
      <c r="AJ426" s="26"/>
      <c r="AK426" s="26"/>
      <c r="AL426" s="26"/>
      <c r="AM426" s="26"/>
      <c r="AN426" s="26"/>
      <c r="AO426" s="26"/>
      <c r="AP426" s="26"/>
      <c r="AQ426" s="26"/>
      <c r="AR426" s="26"/>
      <c r="AS426" s="26"/>
      <c r="AT426" s="26"/>
      <c r="AU426" s="26"/>
      <c r="AV426" s="26"/>
      <c r="AW426" s="26"/>
      <c r="AX426" s="26"/>
      <c r="AY426" s="26"/>
    </row>
    <row r="427" spans="2:51">
      <c r="S427" s="26"/>
      <c r="T427" s="26"/>
      <c r="U427" s="26"/>
      <c r="V427" s="26"/>
      <c r="W427" s="26"/>
      <c r="X427" s="26"/>
      <c r="Y427" s="26"/>
      <c r="Z427" s="26"/>
      <c r="AA427" s="26"/>
      <c r="AB427" s="26"/>
      <c r="AC427" s="26"/>
      <c r="AD427" s="26"/>
      <c r="AE427" s="26"/>
      <c r="AF427" s="26"/>
      <c r="AG427" s="26"/>
      <c r="AH427" s="26"/>
      <c r="AI427" s="26"/>
      <c r="AJ427" s="26"/>
      <c r="AK427" s="26"/>
      <c r="AL427" s="26"/>
      <c r="AM427" s="26"/>
      <c r="AN427" s="26"/>
      <c r="AO427" s="26"/>
      <c r="AP427" s="26"/>
      <c r="AQ427" s="26"/>
      <c r="AR427" s="26"/>
      <c r="AS427" s="26"/>
      <c r="AT427" s="26"/>
      <c r="AU427" s="26"/>
      <c r="AV427" s="26"/>
      <c r="AW427" s="26"/>
      <c r="AX427" s="26"/>
      <c r="AY427" s="26"/>
    </row>
    <row r="428" spans="2:51">
      <c r="S428" s="26"/>
      <c r="T428" s="26"/>
      <c r="U428" s="26"/>
      <c r="V428" s="26"/>
      <c r="W428" s="26"/>
      <c r="X428" s="26"/>
      <c r="Y428" s="26"/>
      <c r="Z428" s="26"/>
      <c r="AA428" s="26"/>
      <c r="AB428" s="26"/>
      <c r="AC428" s="26"/>
      <c r="AD428" s="26"/>
      <c r="AE428" s="26"/>
      <c r="AF428" s="26"/>
      <c r="AG428" s="26"/>
      <c r="AH428" s="26"/>
      <c r="AI428" s="26"/>
      <c r="AJ428" s="26"/>
      <c r="AK428" s="26"/>
      <c r="AL428" s="26"/>
      <c r="AM428" s="26"/>
      <c r="AN428" s="26"/>
      <c r="AO428" s="26"/>
      <c r="AP428" s="26"/>
      <c r="AQ428" s="26"/>
      <c r="AR428" s="26"/>
      <c r="AS428" s="26"/>
      <c r="AT428" s="26"/>
      <c r="AU428" s="26"/>
      <c r="AV428" s="26"/>
      <c r="AW428" s="26"/>
      <c r="AX428" s="26"/>
      <c r="AY428" s="26"/>
    </row>
    <row r="429" spans="2:51">
      <c r="S429" s="26"/>
      <c r="T429" s="26"/>
      <c r="U429" s="26"/>
      <c r="V429" s="26"/>
      <c r="W429" s="26"/>
      <c r="X429" s="26"/>
      <c r="Y429" s="26"/>
      <c r="Z429" s="26"/>
      <c r="AA429" s="26"/>
      <c r="AB429" s="26"/>
      <c r="AC429" s="26"/>
      <c r="AD429" s="26"/>
      <c r="AE429" s="26"/>
      <c r="AF429" s="26"/>
      <c r="AG429" s="26"/>
      <c r="AH429" s="26"/>
      <c r="AI429" s="26"/>
      <c r="AJ429" s="26"/>
      <c r="AK429" s="26"/>
      <c r="AL429" s="26"/>
      <c r="AM429" s="26"/>
      <c r="AN429" s="26"/>
      <c r="AO429" s="26"/>
      <c r="AP429" s="26"/>
      <c r="AQ429" s="26"/>
      <c r="AR429" s="26"/>
      <c r="AS429" s="26"/>
      <c r="AT429" s="26"/>
      <c r="AU429" s="26"/>
      <c r="AV429" s="26"/>
      <c r="AW429" s="26"/>
      <c r="AX429" s="26"/>
      <c r="AY429" s="26"/>
    </row>
    <row r="430" spans="2:51">
      <c r="S430" s="26"/>
      <c r="T430" s="26"/>
      <c r="U430" s="26"/>
      <c r="V430" s="26"/>
      <c r="W430" s="26"/>
      <c r="X430" s="26"/>
      <c r="Y430" s="26"/>
      <c r="Z430" s="26"/>
      <c r="AA430" s="26"/>
      <c r="AB430" s="26"/>
      <c r="AC430" s="26"/>
      <c r="AD430" s="26"/>
      <c r="AE430" s="26"/>
      <c r="AF430" s="26"/>
      <c r="AG430" s="26"/>
      <c r="AH430" s="26"/>
      <c r="AI430" s="26"/>
      <c r="AJ430" s="26"/>
      <c r="AK430" s="26"/>
      <c r="AL430" s="26"/>
      <c r="AM430" s="26"/>
      <c r="AN430" s="26"/>
      <c r="AO430" s="26"/>
      <c r="AP430" s="26"/>
      <c r="AQ430" s="26"/>
      <c r="AR430" s="26"/>
      <c r="AS430" s="26"/>
      <c r="AT430" s="26"/>
      <c r="AU430" s="26"/>
      <c r="AV430" s="26"/>
      <c r="AW430" s="26"/>
      <c r="AX430" s="26"/>
      <c r="AY430" s="26"/>
    </row>
    <row r="431" spans="2:51">
      <c r="S431" s="26"/>
      <c r="T431" s="26"/>
      <c r="U431" s="26"/>
      <c r="V431" s="26"/>
      <c r="W431" s="26"/>
      <c r="X431" s="26"/>
      <c r="Y431" s="26"/>
      <c r="Z431" s="26"/>
      <c r="AA431" s="26"/>
      <c r="AB431" s="26"/>
      <c r="AC431" s="26"/>
      <c r="AD431" s="26"/>
      <c r="AE431" s="26"/>
      <c r="AF431" s="26"/>
      <c r="AG431" s="26"/>
      <c r="AH431" s="26"/>
      <c r="AI431" s="26"/>
      <c r="AJ431" s="26"/>
      <c r="AK431" s="26"/>
      <c r="AL431" s="26"/>
      <c r="AM431" s="26"/>
      <c r="AN431" s="26"/>
      <c r="AO431" s="26"/>
      <c r="AP431" s="26"/>
      <c r="AQ431" s="26"/>
      <c r="AR431" s="26"/>
      <c r="AS431" s="26"/>
      <c r="AT431" s="26"/>
      <c r="AU431" s="26"/>
      <c r="AV431" s="26"/>
      <c r="AW431" s="26"/>
      <c r="AX431" s="26"/>
      <c r="AY431" s="26"/>
    </row>
    <row r="432" spans="2:51">
      <c r="S432" s="26"/>
      <c r="T432" s="26"/>
      <c r="U432" s="26"/>
      <c r="V432" s="26"/>
      <c r="W432" s="26"/>
      <c r="X432" s="26"/>
      <c r="Y432" s="26"/>
      <c r="Z432" s="26"/>
      <c r="AA432" s="26"/>
      <c r="AB432" s="26"/>
      <c r="AC432" s="26"/>
      <c r="AD432" s="26"/>
      <c r="AE432" s="26"/>
      <c r="AF432" s="26"/>
      <c r="AG432" s="26"/>
      <c r="AH432" s="26"/>
      <c r="AI432" s="26"/>
      <c r="AJ432" s="26"/>
      <c r="AK432" s="26"/>
      <c r="AL432" s="26"/>
      <c r="AM432" s="26"/>
      <c r="AN432" s="26"/>
      <c r="AO432" s="26"/>
      <c r="AP432" s="26"/>
      <c r="AQ432" s="26"/>
      <c r="AR432" s="26"/>
      <c r="AS432" s="26"/>
      <c r="AT432" s="26"/>
      <c r="AU432" s="26"/>
      <c r="AV432" s="26"/>
      <c r="AW432" s="26"/>
      <c r="AX432" s="26"/>
      <c r="AY432" s="26"/>
    </row>
    <row r="433" spans="2:51">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c r="AY433" s="26"/>
    </row>
    <row r="434" spans="2:51">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c r="AY434" s="26"/>
    </row>
    <row r="435" spans="2:51">
      <c r="S435" s="26"/>
      <c r="T435" s="26"/>
      <c r="U435" s="26"/>
      <c r="V435" s="26"/>
      <c r="W435" s="26"/>
      <c r="X435" s="26"/>
      <c r="Y435" s="26"/>
      <c r="Z435" s="26"/>
      <c r="AA435" s="26"/>
      <c r="AB435" s="26"/>
      <c r="AC435" s="26"/>
      <c r="AD435" s="26"/>
      <c r="AE435" s="26"/>
      <c r="AF435" s="26"/>
      <c r="AG435" s="26"/>
      <c r="AH435" s="26"/>
      <c r="AI435" s="26"/>
      <c r="AJ435" s="26"/>
      <c r="AK435" s="26"/>
      <c r="AL435" s="26"/>
      <c r="AM435" s="26"/>
      <c r="AN435" s="26"/>
      <c r="AO435" s="26"/>
      <c r="AP435" s="26"/>
      <c r="AQ435" s="26"/>
      <c r="AR435" s="26"/>
      <c r="AS435" s="26"/>
      <c r="AT435" s="26"/>
      <c r="AU435" s="26"/>
      <c r="AV435" s="26"/>
      <c r="AW435" s="26"/>
      <c r="AX435" s="26"/>
      <c r="AY435" s="26"/>
    </row>
    <row r="436" spans="2:51">
      <c r="S436" s="26"/>
      <c r="T436" s="26"/>
      <c r="U436" s="26"/>
      <c r="V436" s="26"/>
      <c r="W436" s="26"/>
      <c r="X436" s="26"/>
      <c r="Y436" s="26"/>
      <c r="Z436" s="26"/>
      <c r="AA436" s="26"/>
      <c r="AB436" s="26"/>
      <c r="AC436" s="26"/>
      <c r="AD436" s="26"/>
      <c r="AE436" s="26"/>
      <c r="AF436" s="26"/>
      <c r="AG436" s="26"/>
      <c r="AH436" s="26"/>
      <c r="AI436" s="26"/>
      <c r="AJ436" s="26"/>
      <c r="AK436" s="26"/>
      <c r="AL436" s="26"/>
      <c r="AM436" s="26"/>
      <c r="AN436" s="26"/>
      <c r="AO436" s="26"/>
      <c r="AP436" s="26"/>
      <c r="AQ436" s="26"/>
      <c r="AR436" s="26"/>
      <c r="AS436" s="26"/>
      <c r="AT436" s="26"/>
      <c r="AU436" s="26"/>
      <c r="AV436" s="26"/>
      <c r="AW436" s="26"/>
      <c r="AX436" s="26"/>
      <c r="AY436" s="26"/>
    </row>
    <row r="437" spans="2:51">
      <c r="S437" s="26"/>
      <c r="T437" s="26"/>
      <c r="U437" s="26"/>
      <c r="V437" s="26"/>
      <c r="W437" s="26"/>
      <c r="X437" s="26"/>
      <c r="Y437" s="26"/>
      <c r="Z437" s="26"/>
      <c r="AA437" s="26"/>
      <c r="AB437" s="26"/>
      <c r="AC437" s="26"/>
      <c r="AD437" s="26"/>
      <c r="AE437" s="26"/>
      <c r="AF437" s="26"/>
      <c r="AG437" s="26"/>
      <c r="AH437" s="26"/>
      <c r="AI437" s="26"/>
      <c r="AJ437" s="26"/>
      <c r="AK437" s="26"/>
      <c r="AL437" s="26"/>
      <c r="AM437" s="26"/>
      <c r="AN437" s="26"/>
      <c r="AO437" s="26"/>
      <c r="AP437" s="26"/>
      <c r="AQ437" s="26"/>
      <c r="AR437" s="26"/>
      <c r="AS437" s="26"/>
      <c r="AT437" s="26"/>
      <c r="AU437" s="26"/>
      <c r="AV437" s="26"/>
      <c r="AW437" s="26"/>
      <c r="AX437" s="26"/>
      <c r="AY437" s="26"/>
    </row>
    <row r="438" spans="2:51">
      <c r="S438" s="26"/>
      <c r="T438" s="26"/>
      <c r="U438" s="26"/>
      <c r="V438" s="26"/>
      <c r="W438" s="26"/>
      <c r="X438" s="26"/>
      <c r="Y438" s="26"/>
      <c r="Z438" s="26"/>
      <c r="AA438" s="26"/>
      <c r="AB438" s="26"/>
      <c r="AC438" s="26"/>
      <c r="AD438" s="26"/>
      <c r="AE438" s="26"/>
      <c r="AF438" s="26"/>
      <c r="AG438" s="26"/>
      <c r="AH438" s="26"/>
      <c r="AI438" s="26"/>
      <c r="AJ438" s="26"/>
      <c r="AK438" s="26"/>
      <c r="AL438" s="26"/>
      <c r="AM438" s="26"/>
      <c r="AN438" s="26"/>
      <c r="AO438" s="26"/>
      <c r="AP438" s="26"/>
      <c r="AQ438" s="26"/>
      <c r="AR438" s="26"/>
      <c r="AS438" s="26"/>
      <c r="AT438" s="26"/>
      <c r="AU438" s="26"/>
      <c r="AV438" s="26"/>
      <c r="AW438" s="26"/>
      <c r="AX438" s="26"/>
      <c r="AY438" s="26"/>
    </row>
    <row r="439" spans="2:51">
      <c r="S439" s="26"/>
      <c r="T439" s="26"/>
      <c r="U439" s="26"/>
      <c r="V439" s="26"/>
      <c r="W439" s="26"/>
      <c r="X439" s="26"/>
      <c r="Y439" s="26"/>
      <c r="Z439" s="26"/>
      <c r="AA439" s="26"/>
      <c r="AB439" s="26"/>
      <c r="AC439" s="26"/>
      <c r="AD439" s="26"/>
      <c r="AE439" s="26"/>
      <c r="AF439" s="26"/>
      <c r="AG439" s="26"/>
      <c r="AH439" s="26"/>
      <c r="AI439" s="26"/>
      <c r="AJ439" s="26"/>
      <c r="AK439" s="26"/>
      <c r="AL439" s="26"/>
      <c r="AM439" s="26"/>
      <c r="AN439" s="26"/>
      <c r="AO439" s="26"/>
      <c r="AP439" s="26"/>
      <c r="AQ439" s="26"/>
      <c r="AR439" s="26"/>
      <c r="AS439" s="26"/>
      <c r="AT439" s="26"/>
      <c r="AU439" s="26"/>
      <c r="AV439" s="26"/>
      <c r="AW439" s="26"/>
      <c r="AX439" s="26"/>
      <c r="AY439" s="26"/>
    </row>
    <row r="440" spans="2:51">
      <c r="S440" s="26"/>
      <c r="T440" s="26"/>
      <c r="U440" s="26"/>
      <c r="V440" s="26"/>
      <c r="W440" s="26"/>
      <c r="X440" s="26"/>
      <c r="Y440" s="26"/>
      <c r="Z440" s="26"/>
      <c r="AA440" s="26"/>
      <c r="AB440" s="26"/>
      <c r="AC440" s="26"/>
      <c r="AD440" s="26"/>
      <c r="AE440" s="26"/>
      <c r="AF440" s="26"/>
      <c r="AG440" s="26"/>
      <c r="AH440" s="26"/>
      <c r="AI440" s="26"/>
      <c r="AJ440" s="26"/>
      <c r="AK440" s="26"/>
      <c r="AL440" s="26"/>
      <c r="AM440" s="26"/>
      <c r="AN440" s="26"/>
      <c r="AO440" s="26"/>
      <c r="AP440" s="26"/>
      <c r="AQ440" s="26"/>
      <c r="AR440" s="26"/>
      <c r="AS440" s="26"/>
      <c r="AT440" s="26"/>
      <c r="AU440" s="26"/>
      <c r="AV440" s="26"/>
      <c r="AW440" s="26"/>
      <c r="AX440" s="26"/>
      <c r="AY440" s="26"/>
    </row>
    <row r="441" spans="2:51">
      <c r="S441" s="26"/>
      <c r="T441" s="26"/>
      <c r="U441" s="26"/>
      <c r="V441" s="26"/>
      <c r="W441" s="26"/>
      <c r="X441" s="26"/>
      <c r="Y441" s="26"/>
      <c r="Z441" s="26"/>
      <c r="AA441" s="26"/>
      <c r="AB441" s="26"/>
      <c r="AC441" s="26"/>
      <c r="AD441" s="26"/>
      <c r="AE441" s="26"/>
      <c r="AF441" s="26"/>
      <c r="AG441" s="26"/>
      <c r="AH441" s="26"/>
      <c r="AI441" s="26"/>
      <c r="AJ441" s="26"/>
      <c r="AK441" s="26"/>
      <c r="AL441" s="26"/>
      <c r="AM441" s="26"/>
      <c r="AN441" s="26"/>
      <c r="AO441" s="26"/>
      <c r="AP441" s="26"/>
      <c r="AQ441" s="26"/>
      <c r="AR441" s="26"/>
      <c r="AS441" s="26"/>
      <c r="AT441" s="26"/>
      <c r="AU441" s="26"/>
      <c r="AV441" s="26"/>
      <c r="AW441" s="26"/>
      <c r="AX441" s="26"/>
      <c r="AY441" s="26"/>
    </row>
    <row r="442" spans="2:51">
      <c r="S442" s="26"/>
      <c r="T442" s="26"/>
      <c r="U442" s="26"/>
      <c r="V442" s="26"/>
      <c r="W442" s="26"/>
      <c r="X442" s="26"/>
      <c r="Y442" s="26"/>
      <c r="Z442" s="26"/>
      <c r="AA442" s="26"/>
      <c r="AB442" s="26"/>
      <c r="AC442" s="26"/>
      <c r="AD442" s="26"/>
      <c r="AE442" s="26"/>
      <c r="AF442" s="26"/>
      <c r="AG442" s="26"/>
      <c r="AH442" s="26"/>
      <c r="AI442" s="26"/>
      <c r="AJ442" s="26"/>
      <c r="AK442" s="26"/>
      <c r="AL442" s="26"/>
      <c r="AM442" s="26"/>
      <c r="AN442" s="26"/>
      <c r="AO442" s="26"/>
      <c r="AP442" s="26"/>
      <c r="AQ442" s="26"/>
      <c r="AR442" s="26"/>
      <c r="AS442" s="26"/>
      <c r="AT442" s="26"/>
      <c r="AU442" s="26"/>
      <c r="AV442" s="26"/>
      <c r="AW442" s="26"/>
      <c r="AX442" s="26"/>
      <c r="AY442" s="26"/>
    </row>
    <row r="443" spans="2:51">
      <c r="S443" s="26"/>
      <c r="T443" s="26"/>
      <c r="U443" s="26"/>
      <c r="V443" s="26"/>
      <c r="W443" s="26"/>
      <c r="X443" s="26"/>
      <c r="Y443" s="26"/>
      <c r="Z443" s="26"/>
      <c r="AA443" s="26"/>
      <c r="AB443" s="26"/>
      <c r="AC443" s="26"/>
      <c r="AD443" s="26"/>
      <c r="AE443" s="26"/>
      <c r="AF443" s="26"/>
      <c r="AG443" s="26"/>
      <c r="AH443" s="26"/>
      <c r="AI443" s="26"/>
      <c r="AJ443" s="26"/>
      <c r="AK443" s="26"/>
      <c r="AL443" s="26"/>
      <c r="AM443" s="26"/>
      <c r="AN443" s="26"/>
      <c r="AO443" s="26"/>
      <c r="AP443" s="26"/>
      <c r="AQ443" s="26"/>
      <c r="AR443" s="26"/>
      <c r="AS443" s="26"/>
      <c r="AT443" s="26"/>
      <c r="AU443" s="26"/>
      <c r="AV443" s="26"/>
      <c r="AW443" s="26"/>
      <c r="AX443" s="26"/>
      <c r="AY443" s="26"/>
    </row>
    <row r="444" spans="2:51">
      <c r="S444" s="26"/>
      <c r="T444" s="26"/>
      <c r="U444" s="26"/>
      <c r="V444" s="26"/>
      <c r="W444" s="26"/>
      <c r="X444" s="26"/>
      <c r="Y444" s="26"/>
      <c r="Z444" s="26"/>
      <c r="AA444" s="26"/>
      <c r="AB444" s="26"/>
      <c r="AC444" s="26"/>
      <c r="AD444" s="26"/>
      <c r="AE444" s="26"/>
      <c r="AF444" s="26"/>
      <c r="AG444" s="26"/>
      <c r="AH444" s="26"/>
      <c r="AI444" s="26"/>
      <c r="AJ444" s="26"/>
      <c r="AK444" s="26"/>
      <c r="AL444" s="26"/>
      <c r="AM444" s="26"/>
      <c r="AN444" s="26"/>
      <c r="AO444" s="26"/>
      <c r="AP444" s="26"/>
      <c r="AQ444" s="26"/>
      <c r="AR444" s="26"/>
      <c r="AS444" s="26"/>
      <c r="AT444" s="26"/>
      <c r="AU444" s="26"/>
      <c r="AV444" s="26"/>
      <c r="AW444" s="26"/>
      <c r="AX444" s="26"/>
      <c r="AY444" s="26"/>
    </row>
    <row r="445" spans="2:51">
      <c r="S445" s="26"/>
      <c r="T445" s="26"/>
      <c r="U445" s="26"/>
      <c r="V445" s="26"/>
      <c r="W445" s="26"/>
      <c r="X445" s="26"/>
      <c r="Y445" s="26"/>
      <c r="Z445" s="26"/>
      <c r="AA445" s="26"/>
      <c r="AB445" s="26"/>
      <c r="AC445" s="26"/>
      <c r="AD445" s="26"/>
      <c r="AE445" s="26"/>
      <c r="AF445" s="26"/>
      <c r="AG445" s="26"/>
      <c r="AH445" s="26"/>
      <c r="AI445" s="26"/>
      <c r="AJ445" s="26"/>
      <c r="AK445" s="26"/>
      <c r="AL445" s="26"/>
      <c r="AM445" s="26"/>
      <c r="AN445" s="26"/>
      <c r="AO445" s="26"/>
      <c r="AP445" s="26"/>
      <c r="AQ445" s="26"/>
      <c r="AR445" s="26"/>
      <c r="AS445" s="26"/>
      <c r="AT445" s="26"/>
      <c r="AU445" s="26"/>
      <c r="AV445" s="26"/>
      <c r="AW445" s="26"/>
      <c r="AX445" s="26"/>
      <c r="AY445" s="26"/>
    </row>
    <row r="446" spans="2:51">
      <c r="S446" s="26"/>
      <c r="T446" s="26"/>
      <c r="U446" s="26"/>
      <c r="V446" s="26"/>
      <c r="W446" s="26"/>
      <c r="X446" s="26"/>
      <c r="Y446" s="26"/>
      <c r="Z446" s="26"/>
      <c r="AA446" s="26"/>
      <c r="AB446" s="26"/>
      <c r="AC446" s="26"/>
      <c r="AD446" s="26"/>
      <c r="AE446" s="26"/>
      <c r="AF446" s="26"/>
      <c r="AG446" s="26"/>
      <c r="AH446" s="26"/>
      <c r="AI446" s="26"/>
      <c r="AJ446" s="26"/>
      <c r="AK446" s="26"/>
      <c r="AL446" s="26"/>
      <c r="AM446" s="26"/>
      <c r="AN446" s="26"/>
      <c r="AO446" s="26"/>
      <c r="AP446" s="26"/>
      <c r="AQ446" s="26"/>
      <c r="AR446" s="26"/>
      <c r="AS446" s="26"/>
      <c r="AT446" s="26"/>
      <c r="AU446" s="26"/>
      <c r="AV446" s="26"/>
      <c r="AW446" s="26"/>
      <c r="AX446" s="26"/>
      <c r="AY446" s="26"/>
    </row>
    <row r="447" spans="2:51">
      <c r="F447" s="283"/>
      <c r="G447" s="283"/>
      <c r="H447" s="283"/>
      <c r="S447" s="26"/>
      <c r="T447" s="26"/>
      <c r="U447" s="26"/>
      <c r="V447" s="26"/>
      <c r="W447" s="26"/>
      <c r="X447" s="26"/>
      <c r="Y447" s="26"/>
      <c r="Z447" s="26"/>
      <c r="AA447" s="26"/>
      <c r="AB447" s="26"/>
      <c r="AC447" s="26"/>
      <c r="AD447" s="26"/>
      <c r="AE447" s="26"/>
      <c r="AF447" s="26"/>
      <c r="AG447" s="26"/>
      <c r="AH447" s="26"/>
      <c r="AI447" s="26"/>
      <c r="AJ447" s="26"/>
      <c r="AK447" s="26"/>
      <c r="AL447" s="26"/>
      <c r="AM447" s="26"/>
      <c r="AN447" s="26"/>
      <c r="AO447" s="26"/>
      <c r="AP447" s="26"/>
      <c r="AQ447" s="26"/>
      <c r="AR447" s="26"/>
      <c r="AS447" s="26"/>
      <c r="AT447" s="26"/>
      <c r="AU447" s="26"/>
      <c r="AV447" s="26"/>
      <c r="AW447" s="26"/>
      <c r="AX447" s="26"/>
      <c r="AY447" s="26"/>
    </row>
    <row r="448" spans="2:51">
      <c r="B448" s="30" t="s">
        <v>161</v>
      </c>
      <c r="C448" s="37" t="s">
        <v>129</v>
      </c>
      <c r="D448" s="37" t="s">
        <v>129</v>
      </c>
      <c r="E448" s="37" t="s">
        <v>129</v>
      </c>
      <c r="F448" s="278"/>
      <c r="G448" s="278"/>
      <c r="H448" s="278"/>
      <c r="S448" s="26"/>
      <c r="T448" s="26"/>
      <c r="U448" s="26"/>
      <c r="V448" s="26"/>
      <c r="W448" s="26"/>
      <c r="X448" s="26"/>
      <c r="Y448" s="26"/>
      <c r="Z448" s="26"/>
      <c r="AA448" s="26"/>
      <c r="AB448" s="26"/>
      <c r="AC448" s="26"/>
      <c r="AD448" s="26"/>
      <c r="AE448" s="26"/>
      <c r="AF448" s="26"/>
      <c r="AG448" s="26"/>
      <c r="AH448" s="26"/>
      <c r="AI448" s="26"/>
      <c r="AJ448" s="26"/>
      <c r="AK448" s="26"/>
      <c r="AL448" s="26"/>
      <c r="AM448" s="26"/>
      <c r="AN448" s="26"/>
      <c r="AO448" s="26"/>
      <c r="AP448" s="26"/>
      <c r="AQ448" s="26"/>
      <c r="AR448" s="26"/>
      <c r="AS448" s="26"/>
      <c r="AT448" s="26"/>
      <c r="AU448" s="26"/>
      <c r="AV448" s="26"/>
      <c r="AW448" s="26"/>
      <c r="AX448" s="26"/>
      <c r="AY448" s="26"/>
    </row>
    <row r="449" spans="2:51">
      <c r="B449" s="30"/>
      <c r="C449" s="30">
        <v>2018</v>
      </c>
      <c r="D449" s="30" t="s">
        <v>223</v>
      </c>
      <c r="E449" s="30" t="s">
        <v>224</v>
      </c>
      <c r="F449" s="279"/>
      <c r="G449" s="279"/>
      <c r="H449" s="279"/>
      <c r="S449" s="26"/>
      <c r="T449" s="26"/>
      <c r="U449" s="26"/>
      <c r="V449" s="26"/>
      <c r="W449" s="26"/>
      <c r="X449" s="26"/>
      <c r="Y449" s="26"/>
      <c r="Z449" s="26"/>
      <c r="AA449" s="26"/>
      <c r="AB449" s="26"/>
      <c r="AC449" s="26"/>
      <c r="AD449" s="26"/>
      <c r="AE449" s="26"/>
      <c r="AF449" s="26"/>
      <c r="AG449" s="26"/>
      <c r="AH449" s="26"/>
      <c r="AI449" s="26"/>
      <c r="AJ449" s="26"/>
      <c r="AK449" s="26"/>
      <c r="AL449" s="26"/>
      <c r="AM449" s="26"/>
      <c r="AN449" s="26"/>
      <c r="AO449" s="26"/>
      <c r="AP449" s="26"/>
      <c r="AQ449" s="26"/>
      <c r="AR449" s="26"/>
      <c r="AS449" s="26"/>
      <c r="AT449" s="26"/>
      <c r="AU449" s="26"/>
      <c r="AV449" s="26"/>
      <c r="AW449" s="26"/>
      <c r="AX449" s="26"/>
      <c r="AY449" s="26"/>
    </row>
    <row r="450" spans="2:51">
      <c r="B450" s="12" t="s">
        <v>68</v>
      </c>
      <c r="C450" s="12">
        <f>'2018'!$X$72</f>
        <v>1027.7</v>
      </c>
      <c r="D450" s="12">
        <f>'BAU2030'!$X$72</f>
        <v>811.88300000000004</v>
      </c>
      <c r="E450" s="12">
        <f>'BAU2050'!$X$72</f>
        <v>205.54</v>
      </c>
      <c r="F450" s="281"/>
      <c r="G450" s="281"/>
      <c r="H450" s="281"/>
      <c r="S450" s="26"/>
      <c r="T450" s="26"/>
      <c r="U450" s="26"/>
      <c r="V450" s="26"/>
      <c r="W450" s="26"/>
      <c r="X450" s="26"/>
      <c r="Y450" s="26"/>
      <c r="Z450" s="26"/>
      <c r="AA450" s="26"/>
      <c r="AB450" s="26"/>
      <c r="AC450" s="26"/>
      <c r="AD450" s="26"/>
      <c r="AE450" s="26"/>
      <c r="AF450" s="26"/>
      <c r="AG450" s="26"/>
      <c r="AH450" s="26"/>
      <c r="AI450" s="26"/>
      <c r="AJ450" s="26"/>
      <c r="AK450" s="26"/>
      <c r="AL450" s="26"/>
      <c r="AM450" s="26"/>
      <c r="AN450" s="26"/>
      <c r="AO450" s="26"/>
      <c r="AP450" s="26"/>
      <c r="AQ450" s="26"/>
      <c r="AR450" s="26"/>
      <c r="AS450" s="26"/>
      <c r="AT450" s="26"/>
      <c r="AU450" s="26"/>
      <c r="AV450" s="26"/>
      <c r="AW450" s="26"/>
      <c r="AX450" s="26"/>
      <c r="AY450" s="26"/>
    </row>
    <row r="451" spans="2:51">
      <c r="B451" s="12" t="s">
        <v>69</v>
      </c>
      <c r="C451" s="12">
        <f>'2018'!$X$73</f>
        <v>813.10000000000014</v>
      </c>
      <c r="D451" s="12">
        <f>'BAU2030'!$X$73</f>
        <v>642.34900000000005</v>
      </c>
      <c r="E451" s="12">
        <f>'BAU2050'!$X$73</f>
        <v>162.62000000000003</v>
      </c>
      <c r="F451" s="281"/>
      <c r="G451" s="281"/>
      <c r="H451" s="281"/>
      <c r="S451" s="26"/>
      <c r="T451" s="26"/>
      <c r="U451" s="26"/>
      <c r="V451" s="26"/>
      <c r="W451" s="26"/>
      <c r="X451" s="26"/>
      <c r="Y451" s="26"/>
      <c r="Z451" s="26"/>
      <c r="AA451" s="26"/>
      <c r="AB451" s="26"/>
      <c r="AC451" s="26"/>
      <c r="AD451" s="26"/>
      <c r="AE451" s="26"/>
      <c r="AF451" s="26"/>
      <c r="AG451" s="26"/>
      <c r="AH451" s="26"/>
      <c r="AI451" s="26"/>
      <c r="AJ451" s="26"/>
      <c r="AK451" s="26"/>
      <c r="AL451" s="26"/>
      <c r="AM451" s="26"/>
      <c r="AN451" s="26"/>
      <c r="AO451" s="26"/>
      <c r="AP451" s="26"/>
      <c r="AQ451" s="26"/>
      <c r="AR451" s="26"/>
      <c r="AS451" s="26"/>
      <c r="AT451" s="26"/>
      <c r="AU451" s="26"/>
      <c r="AV451" s="26"/>
      <c r="AW451" s="26"/>
      <c r="AX451" s="26"/>
      <c r="AY451" s="26"/>
    </row>
    <row r="452" spans="2:51">
      <c r="B452" s="12" t="s">
        <v>121</v>
      </c>
      <c r="C452" s="12">
        <f>'2018'!$X$74</f>
        <v>327</v>
      </c>
      <c r="D452" s="12">
        <f>'BAU2030'!$X$74</f>
        <v>258.33</v>
      </c>
      <c r="E452" s="12">
        <f>'BAU2050'!$X$74</f>
        <v>65.400000000000006</v>
      </c>
      <c r="F452" s="281"/>
      <c r="G452" s="281"/>
      <c r="H452" s="281"/>
      <c r="S452" s="26"/>
      <c r="T452" s="26"/>
      <c r="U452" s="26"/>
      <c r="V452" s="26"/>
      <c r="W452" s="26"/>
      <c r="X452" s="26"/>
      <c r="Y452" s="26"/>
      <c r="Z452" s="26"/>
      <c r="AA452" s="26"/>
      <c r="AB452" s="26"/>
      <c r="AC452" s="26"/>
      <c r="AD452" s="26"/>
      <c r="AE452" s="26"/>
      <c r="AF452" s="26"/>
      <c r="AG452" s="26"/>
      <c r="AH452" s="26"/>
      <c r="AI452" s="26"/>
      <c r="AJ452" s="26"/>
      <c r="AK452" s="26"/>
      <c r="AL452" s="26"/>
      <c r="AM452" s="26"/>
      <c r="AN452" s="26"/>
      <c r="AO452" s="26"/>
      <c r="AP452" s="26"/>
      <c r="AQ452" s="26"/>
      <c r="AR452" s="26"/>
      <c r="AS452" s="26"/>
      <c r="AT452" s="26"/>
      <c r="AU452" s="26"/>
      <c r="AV452" s="26"/>
      <c r="AW452" s="26"/>
      <c r="AX452" s="26"/>
      <c r="AY452" s="26"/>
    </row>
    <row r="453" spans="2:51">
      <c r="B453" s="12" t="s">
        <v>9</v>
      </c>
      <c r="C453" s="12">
        <f>'2018'!$X$75</f>
        <v>112.7</v>
      </c>
      <c r="D453" s="12">
        <f>'BAU2030'!$X$75</f>
        <v>119.46200000000002</v>
      </c>
      <c r="E453" s="12">
        <f>'BAU2050'!$X$75</f>
        <v>135.24</v>
      </c>
      <c r="F453" s="281"/>
      <c r="G453" s="281"/>
      <c r="H453" s="281"/>
      <c r="S453" s="26"/>
      <c r="T453" s="26"/>
      <c r="U453" s="26"/>
      <c r="V453" s="26"/>
      <c r="W453" s="26"/>
      <c r="X453" s="26"/>
      <c r="Y453" s="26"/>
      <c r="Z453" s="26"/>
      <c r="AA453" s="26"/>
      <c r="AB453" s="26"/>
      <c r="AC453" s="26"/>
      <c r="AD453" s="26"/>
      <c r="AE453" s="26"/>
      <c r="AF453" s="26"/>
      <c r="AG453" s="26"/>
      <c r="AH453" s="26"/>
      <c r="AI453" s="26"/>
      <c r="AJ453" s="26"/>
      <c r="AK453" s="26"/>
      <c r="AL453" s="26"/>
      <c r="AM453" s="26"/>
      <c r="AN453" s="26"/>
      <c r="AO453" s="26"/>
      <c r="AP453" s="26"/>
      <c r="AQ453" s="26"/>
      <c r="AR453" s="26"/>
      <c r="AS453" s="26"/>
      <c r="AT453" s="26"/>
      <c r="AU453" s="26"/>
      <c r="AV453" s="26"/>
      <c r="AW453" s="26"/>
      <c r="AX453" s="26"/>
      <c r="AY453" s="26"/>
    </row>
    <row r="454" spans="2:51">
      <c r="B454" s="12" t="s">
        <v>70</v>
      </c>
      <c r="C454" s="12">
        <f>'2018'!$X$76</f>
        <v>280.3</v>
      </c>
      <c r="D454" s="12">
        <f>'BAU2030'!$X$76</f>
        <v>295.99119400000006</v>
      </c>
      <c r="E454" s="12">
        <f>'BAU2050'!$X$76</f>
        <v>336.36</v>
      </c>
      <c r="F454" s="281"/>
      <c r="G454" s="281"/>
      <c r="H454" s="281"/>
      <c r="S454" s="26"/>
      <c r="T454" s="26"/>
      <c r="U454" s="26"/>
      <c r="V454" s="26"/>
      <c r="W454" s="26"/>
      <c r="X454" s="26"/>
      <c r="Y454" s="26"/>
      <c r="Z454" s="26"/>
      <c r="AA454" s="26"/>
      <c r="AB454" s="26"/>
      <c r="AC454" s="26"/>
      <c r="AD454" s="26"/>
      <c r="AE454" s="26"/>
      <c r="AF454" s="26"/>
      <c r="AG454" s="26"/>
      <c r="AH454" s="26"/>
      <c r="AI454" s="26"/>
      <c r="AJ454" s="26"/>
      <c r="AK454" s="26"/>
      <c r="AL454" s="26"/>
      <c r="AM454" s="26"/>
      <c r="AN454" s="26"/>
      <c r="AO454" s="26"/>
      <c r="AP454" s="26"/>
      <c r="AQ454" s="26"/>
      <c r="AR454" s="26"/>
      <c r="AS454" s="26"/>
      <c r="AT454" s="26"/>
      <c r="AU454" s="26"/>
      <c r="AV454" s="26"/>
      <c r="AW454" s="26"/>
      <c r="AX454" s="26"/>
      <c r="AY454" s="26"/>
    </row>
    <row r="455" spans="2:51">
      <c r="B455" s="12" t="s">
        <v>10</v>
      </c>
      <c r="C455" s="12">
        <f>'2018'!$X$77</f>
        <v>266.8</v>
      </c>
      <c r="D455" s="12">
        <f>'BAU2030'!$X$77</f>
        <v>266.8</v>
      </c>
      <c r="E455" s="12">
        <f>'BAU2050'!$X$77</f>
        <v>266.8</v>
      </c>
      <c r="F455" s="281"/>
      <c r="G455" s="281"/>
      <c r="H455" s="281"/>
      <c r="S455" s="26"/>
      <c r="T455" s="26"/>
      <c r="U455" s="26"/>
      <c r="V455" s="26"/>
      <c r="W455" s="26"/>
      <c r="X455" s="26"/>
      <c r="Y455" s="26"/>
      <c r="Z455" s="26"/>
      <c r="AA455" s="26"/>
      <c r="AB455" s="26"/>
      <c r="AC455" s="26"/>
      <c r="AD455" s="26"/>
      <c r="AE455" s="26"/>
      <c r="AF455" s="26"/>
      <c r="AG455" s="26"/>
      <c r="AH455" s="26"/>
      <c r="AI455" s="26"/>
      <c r="AJ455" s="26"/>
      <c r="AK455" s="26"/>
      <c r="AL455" s="26"/>
      <c r="AM455" s="26"/>
      <c r="AN455" s="26"/>
      <c r="AO455" s="26"/>
      <c r="AP455" s="26"/>
      <c r="AQ455" s="26"/>
      <c r="AR455" s="26"/>
      <c r="AS455" s="26"/>
      <c r="AT455" s="26"/>
      <c r="AU455" s="26"/>
      <c r="AV455" s="26"/>
      <c r="AW455" s="26"/>
      <c r="AX455" s="26"/>
      <c r="AY455" s="26"/>
    </row>
    <row r="456" spans="2:51">
      <c r="B456" s="12" t="s">
        <v>32</v>
      </c>
      <c r="C456" s="12">
        <f>'2018'!$X$78</f>
        <v>51.5</v>
      </c>
      <c r="D456" s="12">
        <f>'BAU2030'!$X$78</f>
        <v>15.45</v>
      </c>
      <c r="E456" s="12">
        <f>'BAU2050'!$X$78</f>
        <v>0</v>
      </c>
      <c r="F456" s="281"/>
      <c r="G456" s="281"/>
      <c r="H456" s="281"/>
      <c r="S456" s="26"/>
      <c r="T456" s="26"/>
      <c r="U456" s="26"/>
      <c r="V456" s="26"/>
      <c r="W456" s="26"/>
      <c r="X456" s="26"/>
      <c r="Y456" s="26"/>
      <c r="Z456" s="26"/>
      <c r="AA456" s="26"/>
      <c r="AB456" s="26"/>
      <c r="AC456" s="26"/>
      <c r="AD456" s="26"/>
      <c r="AE456" s="26"/>
      <c r="AF456" s="26"/>
      <c r="AG456" s="26"/>
      <c r="AH456" s="26"/>
      <c r="AI456" s="26"/>
      <c r="AJ456" s="26"/>
      <c r="AK456" s="26"/>
      <c r="AL456" s="26"/>
      <c r="AM456" s="26"/>
      <c r="AN456" s="26"/>
      <c r="AO456" s="26"/>
      <c r="AP456" s="26"/>
      <c r="AQ456" s="26"/>
      <c r="AR456" s="26"/>
      <c r="AS456" s="26"/>
      <c r="AT456" s="26"/>
      <c r="AU456" s="26"/>
      <c r="AV456" s="26"/>
      <c r="AW456" s="26"/>
      <c r="AX456" s="26"/>
      <c r="AY456" s="26"/>
    </row>
    <row r="457" spans="2:51">
      <c r="B457" s="12" t="s">
        <v>33</v>
      </c>
      <c r="C457" s="12">
        <f>'2018'!$X$79</f>
        <v>761</v>
      </c>
      <c r="D457" s="12">
        <f>'BAU2030'!$X$79</f>
        <v>814.2700000000001</v>
      </c>
      <c r="E457" s="12">
        <f>'BAU2050'!$X$79</f>
        <v>913.2</v>
      </c>
      <c r="F457" s="281"/>
      <c r="G457" s="281"/>
      <c r="H457" s="281"/>
      <c r="S457" s="26"/>
      <c r="T457" s="26"/>
      <c r="U457" s="26"/>
      <c r="V457" s="26"/>
      <c r="W457" s="26"/>
      <c r="X457" s="26"/>
      <c r="Y457" s="26"/>
      <c r="Z457" s="26"/>
      <c r="AA457" s="26"/>
      <c r="AB457" s="26"/>
      <c r="AC457" s="26"/>
      <c r="AD457" s="26"/>
      <c r="AE457" s="26"/>
      <c r="AF457" s="26"/>
      <c r="AG457" s="26"/>
      <c r="AH457" s="26"/>
      <c r="AI457" s="26"/>
      <c r="AJ457" s="26"/>
      <c r="AK457" s="26"/>
      <c r="AL457" s="26"/>
      <c r="AM457" s="26"/>
      <c r="AN457" s="26"/>
      <c r="AO457" s="26"/>
      <c r="AP457" s="26"/>
      <c r="AQ457" s="26"/>
      <c r="AR457" s="26"/>
      <c r="AS457" s="26"/>
      <c r="AT457" s="26"/>
      <c r="AU457" s="26"/>
      <c r="AV457" s="26"/>
      <c r="AW457" s="26"/>
      <c r="AX457" s="26"/>
      <c r="AY457" s="26"/>
    </row>
    <row r="458" spans="2:51">
      <c r="B458" s="12" t="s">
        <v>11</v>
      </c>
      <c r="C458" s="12">
        <f>'2018'!$X$80</f>
        <v>108.69999999999999</v>
      </c>
      <c r="D458" s="12">
        <f>'BAU2030'!$X$80</f>
        <v>103.26499999999999</v>
      </c>
      <c r="E458" s="12">
        <f>'BAU2050'!$X$80</f>
        <v>103.26499999999999</v>
      </c>
      <c r="F458" s="281"/>
      <c r="G458" s="281"/>
      <c r="H458" s="281"/>
      <c r="S458" s="26"/>
      <c r="T458" s="26"/>
      <c r="U458" s="26"/>
      <c r="V458" s="26"/>
      <c r="W458" s="26"/>
      <c r="X458" s="26"/>
      <c r="Y458" s="26"/>
      <c r="Z458" s="26"/>
      <c r="AA458" s="26"/>
      <c r="AB458" s="26"/>
      <c r="AC458" s="26"/>
      <c r="AD458" s="26"/>
      <c r="AE458" s="26"/>
      <c r="AF458" s="26"/>
      <c r="AG458" s="26"/>
      <c r="AH458" s="26"/>
      <c r="AI458" s="26"/>
      <c r="AJ458" s="26"/>
      <c r="AK458" s="26"/>
      <c r="AL458" s="26"/>
      <c r="AM458" s="26"/>
      <c r="AN458" s="26"/>
      <c r="AO458" s="26"/>
      <c r="AP458" s="26"/>
      <c r="AQ458" s="26"/>
      <c r="AR458" s="26"/>
      <c r="AS458" s="26"/>
      <c r="AT458" s="26"/>
      <c r="AU458" s="26"/>
      <c r="AV458" s="26"/>
      <c r="AW458" s="26"/>
      <c r="AX458" s="26"/>
      <c r="AY458" s="26"/>
    </row>
    <row r="459" spans="2:51">
      <c r="B459" s="55" t="s">
        <v>147</v>
      </c>
      <c r="C459" s="56">
        <f>SUM(C450:C458)</f>
        <v>3748.8</v>
      </c>
      <c r="D459" s="56">
        <f>SUM(D450:D458)</f>
        <v>3327.8001939999999</v>
      </c>
      <c r="E459" s="56">
        <f>SUM(E450:E458)</f>
        <v>2188.4249999999997</v>
      </c>
      <c r="F459" s="282"/>
      <c r="G459" s="282"/>
      <c r="H459" s="282"/>
      <c r="S459" s="26"/>
      <c r="T459" s="26"/>
      <c r="U459" s="26"/>
      <c r="V459" s="26"/>
      <c r="W459" s="26"/>
      <c r="X459" s="26"/>
      <c r="Y459" s="26"/>
      <c r="Z459" s="26"/>
      <c r="AA459" s="26"/>
      <c r="AB459" s="26"/>
      <c r="AC459" s="26"/>
      <c r="AD459" s="26"/>
      <c r="AE459" s="26"/>
      <c r="AF459" s="26"/>
      <c r="AG459" s="26"/>
      <c r="AH459" s="26"/>
      <c r="AI459" s="26"/>
      <c r="AJ459" s="26"/>
      <c r="AK459" s="26"/>
      <c r="AL459" s="26"/>
      <c r="AM459" s="26"/>
      <c r="AN459" s="26"/>
      <c r="AO459" s="26"/>
      <c r="AP459" s="26"/>
      <c r="AQ459" s="26"/>
      <c r="AR459" s="26"/>
      <c r="AS459" s="26"/>
      <c r="AT459" s="26"/>
      <c r="AU459" s="26"/>
      <c r="AV459" s="26"/>
      <c r="AW459" s="26"/>
      <c r="AX459" s="26"/>
      <c r="AY459" s="26"/>
    </row>
    <row r="460" spans="2:51">
      <c r="B460" s="50"/>
      <c r="C460" s="50"/>
      <c r="D460" s="50"/>
      <c r="E460" s="50"/>
      <c r="F460" s="282"/>
      <c r="G460" s="283"/>
      <c r="H460" s="283"/>
      <c r="J460" s="46"/>
      <c r="K460" s="46"/>
      <c r="L460" s="4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c r="AO460" s="26"/>
      <c r="AP460" s="26"/>
      <c r="AQ460" s="26"/>
      <c r="AR460" s="26"/>
      <c r="AS460" s="26"/>
      <c r="AT460" s="26"/>
      <c r="AU460" s="26"/>
      <c r="AV460" s="26"/>
      <c r="AW460" s="26"/>
      <c r="AX460" s="26"/>
      <c r="AY460" s="26"/>
    </row>
    <row r="461" spans="2:51">
      <c r="B461" s="50"/>
      <c r="C461" s="50"/>
      <c r="D461" s="50"/>
      <c r="E461" s="50"/>
      <c r="F461" s="50"/>
      <c r="S461" s="26"/>
      <c r="T461" s="26"/>
      <c r="U461" s="26"/>
      <c r="V461" s="26"/>
      <c r="W461" s="26"/>
      <c r="X461" s="26"/>
      <c r="Y461" s="26"/>
      <c r="Z461" s="26"/>
      <c r="AA461" s="26"/>
      <c r="AB461" s="26"/>
      <c r="AC461" s="26"/>
      <c r="AD461" s="26"/>
      <c r="AE461" s="26"/>
      <c r="AF461" s="26"/>
      <c r="AG461" s="26"/>
      <c r="AH461" s="26"/>
      <c r="AI461" s="26"/>
      <c r="AJ461" s="26"/>
      <c r="AK461" s="26"/>
      <c r="AL461" s="26"/>
      <c r="AM461" s="26"/>
      <c r="AN461" s="26"/>
      <c r="AO461" s="26"/>
      <c r="AP461" s="26"/>
      <c r="AQ461" s="26"/>
      <c r="AR461" s="26"/>
      <c r="AS461" s="26"/>
      <c r="AT461" s="26"/>
      <c r="AU461" s="26"/>
      <c r="AV461" s="26"/>
      <c r="AW461" s="26"/>
      <c r="AX461" s="26"/>
      <c r="AY461" s="26"/>
    </row>
    <row r="462" spans="2:51">
      <c r="B462" s="50" t="s">
        <v>162</v>
      </c>
      <c r="C462" s="50"/>
      <c r="D462" s="50"/>
      <c r="E462" s="50"/>
      <c r="F462" s="50"/>
      <c r="S462" s="26"/>
      <c r="T462" s="26"/>
      <c r="U462" s="26"/>
      <c r="V462" s="26"/>
      <c r="W462" s="26"/>
      <c r="X462" s="26"/>
      <c r="Y462" s="26"/>
      <c r="Z462" s="26"/>
      <c r="AA462" s="26"/>
      <c r="AB462" s="26"/>
      <c r="AC462" s="26"/>
      <c r="AD462" s="26"/>
      <c r="AE462" s="26"/>
      <c r="AF462" s="26"/>
      <c r="AG462" s="26"/>
      <c r="AH462" s="26"/>
      <c r="AI462" s="26"/>
      <c r="AJ462" s="26"/>
      <c r="AK462" s="26"/>
      <c r="AL462" s="26"/>
      <c r="AM462" s="26"/>
      <c r="AN462" s="26"/>
      <c r="AO462" s="26"/>
      <c r="AP462" s="26"/>
      <c r="AQ462" s="26"/>
      <c r="AR462" s="26"/>
      <c r="AS462" s="26"/>
      <c r="AT462" s="26"/>
      <c r="AU462" s="26"/>
      <c r="AV462" s="26"/>
      <c r="AW462" s="26"/>
      <c r="AX462" s="26"/>
      <c r="AY462" s="26"/>
    </row>
    <row r="463" spans="2:51">
      <c r="S463" s="26"/>
      <c r="T463" s="26"/>
      <c r="U463" s="26"/>
      <c r="V463" s="26"/>
      <c r="W463" s="26"/>
      <c r="X463" s="26"/>
      <c r="Y463" s="26"/>
      <c r="Z463" s="26"/>
      <c r="AA463" s="26"/>
      <c r="AB463" s="26"/>
      <c r="AC463" s="26"/>
      <c r="AD463" s="26"/>
      <c r="AE463" s="26"/>
      <c r="AF463" s="26"/>
      <c r="AG463" s="26"/>
      <c r="AH463" s="26"/>
      <c r="AI463" s="26"/>
      <c r="AJ463" s="26"/>
      <c r="AK463" s="26"/>
      <c r="AL463" s="26"/>
      <c r="AM463" s="26"/>
      <c r="AN463" s="26"/>
      <c r="AO463" s="26"/>
      <c r="AP463" s="26"/>
      <c r="AQ463" s="26"/>
      <c r="AR463" s="26"/>
      <c r="AS463" s="26"/>
      <c r="AT463" s="26"/>
      <c r="AU463" s="26"/>
      <c r="AV463" s="26"/>
      <c r="AW463" s="26"/>
      <c r="AX463" s="26"/>
      <c r="AY463" s="26"/>
    </row>
    <row r="464" spans="2:51">
      <c r="S464" s="26"/>
      <c r="T464" s="26"/>
      <c r="U464" s="26"/>
      <c r="V464" s="26"/>
      <c r="W464" s="26"/>
      <c r="X464" s="26"/>
      <c r="Y464" s="26"/>
      <c r="Z464" s="26"/>
      <c r="AA464" s="26"/>
      <c r="AB464" s="26"/>
      <c r="AC464" s="26"/>
      <c r="AD464" s="26"/>
      <c r="AE464" s="26"/>
      <c r="AF464" s="26"/>
      <c r="AG464" s="26"/>
      <c r="AH464" s="26"/>
      <c r="AI464" s="26"/>
      <c r="AJ464" s="26"/>
      <c r="AK464" s="26"/>
      <c r="AL464" s="26"/>
      <c r="AM464" s="26"/>
      <c r="AN464" s="26"/>
      <c r="AO464" s="26"/>
      <c r="AP464" s="26"/>
      <c r="AQ464" s="26"/>
      <c r="AR464" s="26"/>
      <c r="AS464" s="26"/>
      <c r="AT464" s="26"/>
      <c r="AU464" s="26"/>
      <c r="AV464" s="26"/>
      <c r="AW464" s="26"/>
      <c r="AX464" s="26"/>
      <c r="AY464" s="26"/>
    </row>
    <row r="465" spans="19:51">
      <c r="S465" s="26"/>
      <c r="T465" s="26"/>
      <c r="U465" s="26"/>
      <c r="V465" s="26"/>
      <c r="W465" s="26"/>
      <c r="X465" s="26"/>
      <c r="Y465" s="26"/>
      <c r="Z465" s="26"/>
      <c r="AA465" s="26"/>
      <c r="AB465" s="26"/>
      <c r="AC465" s="26"/>
      <c r="AD465" s="26"/>
      <c r="AE465" s="26"/>
      <c r="AF465" s="26"/>
      <c r="AG465" s="26"/>
      <c r="AH465" s="26"/>
      <c r="AI465" s="26"/>
      <c r="AJ465" s="26"/>
      <c r="AK465" s="26"/>
      <c r="AL465" s="26"/>
      <c r="AM465" s="26"/>
      <c r="AN465" s="26"/>
      <c r="AO465" s="26"/>
      <c r="AP465" s="26"/>
      <c r="AQ465" s="26"/>
      <c r="AR465" s="26"/>
      <c r="AS465" s="26"/>
      <c r="AT465" s="26"/>
      <c r="AU465" s="26"/>
      <c r="AV465" s="26"/>
      <c r="AW465" s="26"/>
      <c r="AX465" s="26"/>
      <c r="AY465" s="26"/>
    </row>
    <row r="466" spans="19:51">
      <c r="S466" s="26"/>
      <c r="T466" s="26"/>
      <c r="U466" s="26"/>
      <c r="V466" s="26"/>
      <c r="W466" s="26"/>
      <c r="X466" s="26"/>
      <c r="Y466" s="26"/>
      <c r="Z466" s="26"/>
      <c r="AA466" s="26"/>
      <c r="AB466" s="26"/>
      <c r="AC466" s="26"/>
      <c r="AD466" s="26"/>
      <c r="AE466" s="26"/>
      <c r="AF466" s="26"/>
      <c r="AG466" s="26"/>
      <c r="AH466" s="26"/>
      <c r="AI466" s="26"/>
      <c r="AJ466" s="26"/>
      <c r="AK466" s="26"/>
      <c r="AL466" s="26"/>
      <c r="AM466" s="26"/>
      <c r="AN466" s="26"/>
      <c r="AO466" s="26"/>
      <c r="AP466" s="26"/>
      <c r="AQ466" s="26"/>
      <c r="AR466" s="26"/>
      <c r="AS466" s="26"/>
      <c r="AT466" s="26"/>
      <c r="AU466" s="26"/>
      <c r="AV466" s="26"/>
      <c r="AW466" s="26"/>
      <c r="AX466" s="26"/>
      <c r="AY466" s="26"/>
    </row>
    <row r="467" spans="19:51">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26"/>
      <c r="AV467" s="26"/>
      <c r="AW467" s="26"/>
      <c r="AX467" s="26"/>
      <c r="AY467" s="26"/>
    </row>
    <row r="468" spans="19:51">
      <c r="S468" s="26"/>
      <c r="T468" s="26"/>
      <c r="U468" s="26"/>
      <c r="V468" s="26"/>
      <c r="W468" s="26"/>
      <c r="X468" s="26"/>
      <c r="Y468" s="26"/>
      <c r="Z468" s="26"/>
      <c r="AA468" s="26"/>
      <c r="AB468" s="26"/>
      <c r="AC468" s="26"/>
      <c r="AD468" s="26"/>
      <c r="AE468" s="26"/>
      <c r="AF468" s="26"/>
      <c r="AG468" s="26"/>
      <c r="AH468" s="26"/>
      <c r="AI468" s="26"/>
      <c r="AJ468" s="26"/>
      <c r="AK468" s="26"/>
      <c r="AL468" s="26"/>
      <c r="AM468" s="26"/>
      <c r="AN468" s="26"/>
      <c r="AO468" s="26"/>
      <c r="AP468" s="26"/>
      <c r="AQ468" s="26"/>
      <c r="AR468" s="26"/>
      <c r="AS468" s="26"/>
      <c r="AT468" s="26"/>
      <c r="AU468" s="26"/>
      <c r="AV468" s="26"/>
      <c r="AW468" s="26"/>
      <c r="AX468" s="26"/>
      <c r="AY468" s="26"/>
    </row>
    <row r="469" spans="19:51">
      <c r="S469" s="26"/>
      <c r="T469" s="26"/>
      <c r="U469" s="26"/>
      <c r="V469" s="26"/>
      <c r="W469" s="26"/>
      <c r="X469" s="26"/>
      <c r="Y469" s="26"/>
      <c r="Z469" s="26"/>
      <c r="AA469" s="26"/>
      <c r="AB469" s="26"/>
      <c r="AC469" s="26"/>
      <c r="AD469" s="26"/>
      <c r="AE469" s="26"/>
      <c r="AF469" s="26"/>
      <c r="AG469" s="26"/>
      <c r="AH469" s="26"/>
      <c r="AI469" s="26"/>
      <c r="AJ469" s="26"/>
      <c r="AK469" s="26"/>
      <c r="AL469" s="26"/>
      <c r="AM469" s="26"/>
      <c r="AN469" s="26"/>
      <c r="AO469" s="26"/>
      <c r="AP469" s="26"/>
      <c r="AQ469" s="26"/>
      <c r="AR469" s="26"/>
      <c r="AS469" s="26"/>
      <c r="AT469" s="26"/>
      <c r="AU469" s="26"/>
      <c r="AV469" s="26"/>
      <c r="AW469" s="26"/>
      <c r="AX469" s="26"/>
      <c r="AY469" s="26"/>
    </row>
    <row r="470" spans="19:51">
      <c r="S470" s="26"/>
      <c r="T470" s="26"/>
      <c r="U470" s="26"/>
      <c r="V470" s="26"/>
      <c r="W470" s="26"/>
      <c r="X470" s="26"/>
      <c r="Y470" s="26"/>
      <c r="Z470" s="26"/>
      <c r="AA470" s="26"/>
      <c r="AB470" s="26"/>
      <c r="AC470" s="26"/>
      <c r="AD470" s="26"/>
      <c r="AE470" s="26"/>
      <c r="AF470" s="26"/>
      <c r="AG470" s="26"/>
      <c r="AH470" s="26"/>
      <c r="AI470" s="26"/>
      <c r="AJ470" s="26"/>
      <c r="AK470" s="26"/>
      <c r="AL470" s="26"/>
      <c r="AM470" s="26"/>
      <c r="AN470" s="26"/>
      <c r="AO470" s="26"/>
      <c r="AP470" s="26"/>
      <c r="AQ470" s="26"/>
      <c r="AR470" s="26"/>
      <c r="AS470" s="26"/>
      <c r="AT470" s="26"/>
      <c r="AU470" s="26"/>
      <c r="AV470" s="26"/>
      <c r="AW470" s="26"/>
      <c r="AX470" s="26"/>
      <c r="AY470" s="26"/>
    </row>
    <row r="471" spans="19:51">
      <c r="S471" s="26"/>
      <c r="T471" s="26"/>
      <c r="U471" s="26"/>
      <c r="V471" s="26"/>
      <c r="W471" s="26"/>
      <c r="X471" s="26"/>
      <c r="Y471" s="26"/>
      <c r="Z471" s="26"/>
      <c r="AA471" s="26"/>
      <c r="AB471" s="26"/>
      <c r="AC471" s="26"/>
      <c r="AD471" s="26"/>
      <c r="AE471" s="26"/>
      <c r="AF471" s="26"/>
      <c r="AG471" s="26"/>
      <c r="AH471" s="26"/>
      <c r="AI471" s="26"/>
      <c r="AJ471" s="26"/>
      <c r="AK471" s="26"/>
      <c r="AL471" s="26"/>
      <c r="AM471" s="26"/>
      <c r="AN471" s="26"/>
      <c r="AO471" s="26"/>
      <c r="AP471" s="26"/>
      <c r="AQ471" s="26"/>
      <c r="AR471" s="26"/>
      <c r="AS471" s="26"/>
      <c r="AT471" s="26"/>
      <c r="AU471" s="26"/>
      <c r="AV471" s="26"/>
      <c r="AW471" s="26"/>
      <c r="AX471" s="26"/>
      <c r="AY471" s="26"/>
    </row>
    <row r="472" spans="19:51">
      <c r="S472" s="26"/>
      <c r="T472" s="26"/>
      <c r="U472" s="26"/>
      <c r="V472" s="26"/>
      <c r="W472" s="26"/>
      <c r="X472" s="26"/>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26"/>
      <c r="AV472" s="26"/>
      <c r="AW472" s="26"/>
      <c r="AX472" s="26"/>
      <c r="AY472" s="26"/>
    </row>
    <row r="473" spans="19:51">
      <c r="S473" s="26"/>
      <c r="T473" s="26"/>
      <c r="U473" s="26"/>
      <c r="V473" s="26"/>
      <c r="W473" s="26"/>
      <c r="X473" s="26"/>
      <c r="Y473" s="26"/>
      <c r="Z473" s="26"/>
      <c r="AA473" s="26"/>
      <c r="AB473" s="26"/>
      <c r="AC473" s="26"/>
      <c r="AD473" s="26"/>
      <c r="AE473" s="26"/>
      <c r="AF473" s="26"/>
      <c r="AG473" s="26"/>
      <c r="AH473" s="26"/>
      <c r="AI473" s="26"/>
      <c r="AJ473" s="26"/>
      <c r="AK473" s="26"/>
      <c r="AL473" s="26"/>
      <c r="AM473" s="26"/>
      <c r="AN473" s="26"/>
      <c r="AO473" s="26"/>
      <c r="AP473" s="26"/>
      <c r="AQ473" s="26"/>
      <c r="AR473" s="26"/>
      <c r="AS473" s="26"/>
      <c r="AT473" s="26"/>
      <c r="AU473" s="26"/>
      <c r="AV473" s="26"/>
      <c r="AW473" s="26"/>
      <c r="AX473" s="26"/>
      <c r="AY473" s="26"/>
    </row>
    <row r="474" spans="19:51">
      <c r="S474" s="26"/>
      <c r="T474" s="26"/>
      <c r="U474" s="26"/>
      <c r="V474" s="26"/>
      <c r="W474" s="26"/>
      <c r="X474" s="26"/>
      <c r="Y474" s="26"/>
      <c r="Z474" s="26"/>
      <c r="AA474" s="26"/>
      <c r="AB474" s="26"/>
      <c r="AC474" s="26"/>
      <c r="AD474" s="26"/>
      <c r="AE474" s="26"/>
      <c r="AF474" s="26"/>
      <c r="AG474" s="26"/>
      <c r="AH474" s="26"/>
      <c r="AI474" s="26"/>
      <c r="AJ474" s="26"/>
      <c r="AK474" s="26"/>
      <c r="AL474" s="26"/>
      <c r="AM474" s="26"/>
      <c r="AN474" s="26"/>
      <c r="AO474" s="26"/>
      <c r="AP474" s="26"/>
      <c r="AQ474" s="26"/>
      <c r="AR474" s="26"/>
      <c r="AS474" s="26"/>
      <c r="AT474" s="26"/>
      <c r="AU474" s="26"/>
      <c r="AV474" s="26"/>
      <c r="AW474" s="26"/>
      <c r="AX474" s="26"/>
      <c r="AY474" s="26"/>
    </row>
    <row r="475" spans="19:51">
      <c r="S475" s="26"/>
      <c r="T475" s="26"/>
      <c r="U475" s="26"/>
      <c r="V475" s="26"/>
      <c r="W475" s="26"/>
      <c r="X475" s="26"/>
      <c r="Y475" s="26"/>
      <c r="Z475" s="26"/>
      <c r="AA475" s="26"/>
      <c r="AB475" s="26"/>
      <c r="AC475" s="26"/>
      <c r="AD475" s="26"/>
      <c r="AE475" s="26"/>
      <c r="AF475" s="26"/>
      <c r="AG475" s="26"/>
      <c r="AH475" s="26"/>
      <c r="AI475" s="26"/>
      <c r="AJ475" s="26"/>
      <c r="AK475" s="26"/>
      <c r="AL475" s="26"/>
      <c r="AM475" s="26"/>
      <c r="AN475" s="26"/>
      <c r="AO475" s="26"/>
      <c r="AP475" s="26"/>
      <c r="AQ475" s="26"/>
      <c r="AR475" s="26"/>
      <c r="AS475" s="26"/>
      <c r="AT475" s="26"/>
      <c r="AU475" s="26"/>
      <c r="AV475" s="26"/>
      <c r="AW475" s="26"/>
      <c r="AX475" s="26"/>
      <c r="AY475" s="26"/>
    </row>
    <row r="476" spans="19:51">
      <c r="S476" s="26"/>
      <c r="T476" s="26"/>
      <c r="U476" s="26"/>
      <c r="V476" s="26"/>
      <c r="W476" s="26"/>
      <c r="X476" s="26"/>
      <c r="Y476" s="26"/>
      <c r="Z476" s="26"/>
      <c r="AA476" s="26"/>
      <c r="AB476" s="26"/>
      <c r="AC476" s="26"/>
      <c r="AD476" s="26"/>
      <c r="AE476" s="26"/>
      <c r="AF476" s="26"/>
      <c r="AG476" s="26"/>
      <c r="AH476" s="26"/>
      <c r="AI476" s="26"/>
      <c r="AJ476" s="26"/>
      <c r="AK476" s="26"/>
      <c r="AL476" s="26"/>
      <c r="AM476" s="26"/>
      <c r="AN476" s="26"/>
      <c r="AO476" s="26"/>
      <c r="AP476" s="26"/>
      <c r="AQ476" s="26"/>
      <c r="AR476" s="26"/>
      <c r="AS476" s="26"/>
      <c r="AT476" s="26"/>
      <c r="AU476" s="26"/>
      <c r="AV476" s="26"/>
      <c r="AW476" s="26"/>
      <c r="AX476" s="26"/>
      <c r="AY476" s="26"/>
    </row>
    <row r="477" spans="19:51">
      <c r="S477" s="26"/>
      <c r="T477" s="26"/>
      <c r="U477" s="26"/>
      <c r="V477" s="26"/>
      <c r="W477" s="26"/>
      <c r="X477" s="26"/>
      <c r="Y477" s="26"/>
      <c r="Z477" s="26"/>
      <c r="AA477" s="26"/>
      <c r="AB477" s="26"/>
      <c r="AC477" s="26"/>
      <c r="AD477" s="26"/>
      <c r="AE477" s="26"/>
      <c r="AF477" s="26"/>
      <c r="AG477" s="26"/>
      <c r="AH477" s="26"/>
      <c r="AI477" s="26"/>
      <c r="AJ477" s="26"/>
      <c r="AK477" s="26"/>
      <c r="AL477" s="26"/>
      <c r="AM477" s="26"/>
      <c r="AN477" s="26"/>
      <c r="AO477" s="26"/>
      <c r="AP477" s="26"/>
      <c r="AQ477" s="26"/>
      <c r="AR477" s="26"/>
      <c r="AS477" s="26"/>
      <c r="AT477" s="26"/>
      <c r="AU477" s="26"/>
      <c r="AV477" s="26"/>
      <c r="AW477" s="26"/>
      <c r="AX477" s="26"/>
      <c r="AY477" s="26"/>
    </row>
    <row r="478" spans="19:51">
      <c r="S478" s="26"/>
      <c r="T478" s="26"/>
      <c r="U478" s="26"/>
      <c r="V478" s="26"/>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26"/>
      <c r="AV478" s="26"/>
      <c r="AW478" s="26"/>
      <c r="AX478" s="26"/>
      <c r="AY478" s="26"/>
    </row>
    <row r="479" spans="19:51">
      <c r="S479" s="26"/>
      <c r="T479" s="26"/>
      <c r="U479" s="26"/>
      <c r="V479" s="26"/>
      <c r="W479" s="26"/>
      <c r="X479" s="26"/>
      <c r="Y479" s="26"/>
      <c r="Z479" s="26"/>
      <c r="AA479" s="26"/>
      <c r="AB479" s="26"/>
      <c r="AC479" s="26"/>
      <c r="AD479" s="26"/>
      <c r="AE479" s="26"/>
      <c r="AF479" s="26"/>
      <c r="AG479" s="26"/>
      <c r="AH479" s="26"/>
      <c r="AI479" s="26"/>
      <c r="AJ479" s="26"/>
      <c r="AK479" s="26"/>
      <c r="AL479" s="26"/>
      <c r="AM479" s="26"/>
      <c r="AN479" s="26"/>
      <c r="AO479" s="26"/>
      <c r="AP479" s="26"/>
      <c r="AQ479" s="26"/>
      <c r="AR479" s="26"/>
      <c r="AS479" s="26"/>
      <c r="AT479" s="26"/>
      <c r="AU479" s="26"/>
      <c r="AV479" s="26"/>
      <c r="AW479" s="26"/>
      <c r="AX479" s="26"/>
      <c r="AY479" s="26"/>
    </row>
    <row r="480" spans="19:51">
      <c r="S480" s="26"/>
      <c r="T480" s="26"/>
      <c r="U480" s="26"/>
      <c r="V480" s="26"/>
      <c r="W480" s="26"/>
      <c r="X480" s="26"/>
      <c r="Y480" s="26"/>
      <c r="Z480" s="26"/>
      <c r="AA480" s="26"/>
      <c r="AB480" s="26"/>
      <c r="AC480" s="26"/>
      <c r="AD480" s="26"/>
      <c r="AE480" s="26"/>
      <c r="AF480" s="26"/>
      <c r="AG480" s="26"/>
      <c r="AH480" s="26"/>
      <c r="AI480" s="26"/>
      <c r="AJ480" s="26"/>
      <c r="AK480" s="26"/>
      <c r="AL480" s="26"/>
      <c r="AM480" s="26"/>
      <c r="AN480" s="26"/>
      <c r="AO480" s="26"/>
      <c r="AP480" s="26"/>
      <c r="AQ480" s="26"/>
      <c r="AR480" s="26"/>
      <c r="AS480" s="26"/>
      <c r="AT480" s="26"/>
      <c r="AU480" s="26"/>
      <c r="AV480" s="26"/>
      <c r="AW480" s="26"/>
      <c r="AX480" s="26"/>
      <c r="AY480" s="26"/>
    </row>
    <row r="481" spans="2:51">
      <c r="S481" s="26"/>
      <c r="T481" s="26"/>
      <c r="U481" s="26"/>
      <c r="V481" s="26"/>
      <c r="W481" s="26"/>
      <c r="X481" s="26"/>
      <c r="Y481" s="26"/>
      <c r="Z481" s="26"/>
      <c r="AA481" s="26"/>
      <c r="AB481" s="26"/>
      <c r="AC481" s="26"/>
      <c r="AD481" s="26"/>
      <c r="AE481" s="26"/>
      <c r="AF481" s="26"/>
      <c r="AG481" s="26"/>
      <c r="AH481" s="26"/>
      <c r="AI481" s="26"/>
      <c r="AJ481" s="26"/>
      <c r="AK481" s="26"/>
      <c r="AL481" s="26"/>
      <c r="AM481" s="26"/>
      <c r="AN481" s="26"/>
      <c r="AO481" s="26"/>
      <c r="AP481" s="26"/>
      <c r="AQ481" s="26"/>
      <c r="AR481" s="26"/>
      <c r="AS481" s="26"/>
      <c r="AT481" s="26"/>
      <c r="AU481" s="26"/>
      <c r="AV481" s="26"/>
      <c r="AW481" s="26"/>
      <c r="AX481" s="26"/>
      <c r="AY481" s="26"/>
    </row>
    <row r="482" spans="2:51">
      <c r="S482" s="26"/>
      <c r="T482" s="26"/>
      <c r="U482" s="26"/>
      <c r="V482" s="26"/>
      <c r="W482" s="26"/>
      <c r="X482" s="26"/>
      <c r="Y482" s="26"/>
      <c r="Z482" s="26"/>
      <c r="AA482" s="26"/>
      <c r="AB482" s="26"/>
      <c r="AC482" s="26"/>
      <c r="AD482" s="26"/>
      <c r="AE482" s="26"/>
      <c r="AF482" s="26"/>
      <c r="AG482" s="26"/>
      <c r="AH482" s="26"/>
      <c r="AI482" s="26"/>
      <c r="AJ482" s="26"/>
      <c r="AK482" s="26"/>
      <c r="AL482" s="26"/>
      <c r="AM482" s="26"/>
      <c r="AN482" s="26"/>
      <c r="AO482" s="26"/>
      <c r="AP482" s="26"/>
      <c r="AQ482" s="26"/>
      <c r="AR482" s="26"/>
      <c r="AS482" s="26"/>
      <c r="AT482" s="26"/>
      <c r="AU482" s="26"/>
      <c r="AV482" s="26"/>
      <c r="AW482" s="26"/>
      <c r="AX482" s="26"/>
      <c r="AY482" s="26"/>
    </row>
    <row r="483" spans="2:51">
      <c r="S483" s="26"/>
      <c r="T483" s="26"/>
      <c r="U483" s="26"/>
      <c r="V483" s="26"/>
      <c r="W483" s="26"/>
      <c r="X483" s="26"/>
      <c r="Y483" s="26"/>
      <c r="Z483" s="26"/>
      <c r="AA483" s="26"/>
      <c r="AB483" s="26"/>
      <c r="AC483" s="26"/>
      <c r="AD483" s="26"/>
      <c r="AE483" s="26"/>
      <c r="AF483" s="26"/>
      <c r="AG483" s="26"/>
      <c r="AH483" s="26"/>
      <c r="AI483" s="26"/>
      <c r="AJ483" s="26"/>
      <c r="AK483" s="26"/>
      <c r="AL483" s="26"/>
      <c r="AM483" s="26"/>
      <c r="AN483" s="26"/>
      <c r="AO483" s="26"/>
      <c r="AP483" s="26"/>
      <c r="AQ483" s="26"/>
      <c r="AR483" s="26"/>
      <c r="AS483" s="26"/>
      <c r="AT483" s="26"/>
      <c r="AU483" s="26"/>
      <c r="AV483" s="26"/>
      <c r="AW483" s="26"/>
      <c r="AX483" s="26"/>
      <c r="AY483" s="26"/>
    </row>
    <row r="484" spans="2:51">
      <c r="S484" s="26"/>
      <c r="T484" s="26"/>
      <c r="U484" s="26"/>
      <c r="V484" s="26"/>
      <c r="W484" s="26"/>
      <c r="X484" s="26"/>
      <c r="Y484" s="26"/>
      <c r="Z484" s="26"/>
      <c r="AA484" s="26"/>
      <c r="AB484" s="26"/>
      <c r="AC484" s="26"/>
      <c r="AD484" s="26"/>
      <c r="AE484" s="26"/>
      <c r="AF484" s="26"/>
      <c r="AG484" s="26"/>
      <c r="AH484" s="26"/>
      <c r="AI484" s="26"/>
      <c r="AJ484" s="26"/>
      <c r="AK484" s="26"/>
      <c r="AL484" s="26"/>
      <c r="AM484" s="26"/>
      <c r="AN484" s="26"/>
      <c r="AO484" s="26"/>
      <c r="AP484" s="26"/>
      <c r="AQ484" s="26"/>
      <c r="AR484" s="26"/>
      <c r="AS484" s="26"/>
      <c r="AT484" s="26"/>
      <c r="AU484" s="26"/>
      <c r="AV484" s="26"/>
      <c r="AW484" s="26"/>
      <c r="AX484" s="26"/>
      <c r="AY484" s="26"/>
    </row>
    <row r="485" spans="2:51">
      <c r="S485" s="26"/>
      <c r="T485" s="26"/>
      <c r="U485" s="26"/>
      <c r="V485" s="26"/>
      <c r="W485" s="26"/>
      <c r="X485" s="26"/>
      <c r="Y485" s="26"/>
      <c r="Z485" s="26"/>
      <c r="AA485" s="26"/>
      <c r="AB485" s="26"/>
      <c r="AC485" s="26"/>
      <c r="AD485" s="26"/>
      <c r="AE485" s="26"/>
      <c r="AF485" s="26"/>
      <c r="AG485" s="26"/>
      <c r="AH485" s="26"/>
      <c r="AI485" s="26"/>
      <c r="AJ485" s="26"/>
      <c r="AK485" s="26"/>
      <c r="AL485" s="26"/>
      <c r="AM485" s="26"/>
      <c r="AN485" s="26"/>
      <c r="AO485" s="26"/>
      <c r="AP485" s="26"/>
      <c r="AQ485" s="26"/>
      <c r="AR485" s="26"/>
      <c r="AS485" s="26"/>
      <c r="AT485" s="26"/>
      <c r="AU485" s="26"/>
      <c r="AV485" s="26"/>
      <c r="AW485" s="26"/>
      <c r="AX485" s="26"/>
      <c r="AY485" s="26"/>
    </row>
    <row r="486" spans="2:51">
      <c r="S486" s="26"/>
      <c r="T486" s="26"/>
      <c r="U486" s="26"/>
      <c r="V486" s="26"/>
      <c r="W486" s="26"/>
      <c r="X486" s="26"/>
      <c r="Y486" s="26"/>
      <c r="Z486" s="26"/>
      <c r="AA486" s="26"/>
      <c r="AB486" s="26"/>
      <c r="AC486" s="26"/>
      <c r="AD486" s="26"/>
      <c r="AE486" s="26"/>
      <c r="AF486" s="26"/>
      <c r="AG486" s="26"/>
      <c r="AH486" s="26"/>
      <c r="AI486" s="26"/>
      <c r="AJ486" s="26"/>
      <c r="AK486" s="26"/>
      <c r="AL486" s="26"/>
      <c r="AM486" s="26"/>
      <c r="AN486" s="26"/>
      <c r="AO486" s="26"/>
      <c r="AP486" s="26"/>
      <c r="AQ486" s="26"/>
      <c r="AR486" s="26"/>
      <c r="AS486" s="26"/>
      <c r="AT486" s="26"/>
      <c r="AU486" s="26"/>
      <c r="AV486" s="26"/>
      <c r="AW486" s="26"/>
      <c r="AX486" s="26"/>
      <c r="AY486" s="26"/>
    </row>
    <row r="487" spans="2:51">
      <c r="S487" s="26"/>
      <c r="T487" s="26"/>
      <c r="U487" s="26"/>
      <c r="V487" s="26"/>
      <c r="W487" s="26"/>
      <c r="X487" s="26"/>
      <c r="Y487" s="26"/>
      <c r="Z487" s="26"/>
      <c r="AA487" s="26"/>
      <c r="AB487" s="26"/>
      <c r="AC487" s="26"/>
      <c r="AD487" s="26"/>
      <c r="AE487" s="26"/>
      <c r="AF487" s="26"/>
      <c r="AG487" s="26"/>
      <c r="AH487" s="26"/>
      <c r="AI487" s="26"/>
      <c r="AJ487" s="26"/>
      <c r="AK487" s="26"/>
      <c r="AL487" s="26"/>
      <c r="AM487" s="26"/>
      <c r="AN487" s="26"/>
      <c r="AO487" s="26"/>
      <c r="AP487" s="26"/>
      <c r="AQ487" s="26"/>
      <c r="AR487" s="26"/>
      <c r="AS487" s="26"/>
      <c r="AT487" s="26"/>
      <c r="AU487" s="26"/>
      <c r="AV487" s="26"/>
      <c r="AW487" s="26"/>
      <c r="AX487" s="26"/>
      <c r="AY487" s="26"/>
    </row>
    <row r="488" spans="2:51">
      <c r="S488" s="26"/>
      <c r="T488" s="26"/>
      <c r="U488" s="26"/>
      <c r="V488" s="26"/>
      <c r="W488" s="26"/>
      <c r="X488" s="26"/>
      <c r="Y488" s="26"/>
      <c r="Z488" s="26"/>
      <c r="AA488" s="26"/>
      <c r="AB488" s="26"/>
      <c r="AC488" s="26"/>
      <c r="AD488" s="26"/>
      <c r="AE488" s="26"/>
      <c r="AF488" s="26"/>
      <c r="AG488" s="26"/>
      <c r="AH488" s="26"/>
      <c r="AI488" s="26"/>
      <c r="AJ488" s="26"/>
      <c r="AK488" s="26"/>
      <c r="AL488" s="26"/>
      <c r="AM488" s="26"/>
      <c r="AN488" s="26"/>
      <c r="AO488" s="26"/>
      <c r="AP488" s="26"/>
      <c r="AQ488" s="26"/>
      <c r="AR488" s="26"/>
      <c r="AS488" s="26"/>
      <c r="AT488" s="26"/>
      <c r="AU488" s="26"/>
      <c r="AV488" s="26"/>
      <c r="AW488" s="26"/>
      <c r="AX488" s="26"/>
      <c r="AY488" s="26"/>
    </row>
    <row r="489" spans="2:51">
      <c r="S489" s="26"/>
      <c r="T489" s="26"/>
      <c r="U489" s="26"/>
      <c r="V489" s="26"/>
      <c r="W489" s="26"/>
      <c r="X489" s="26"/>
      <c r="Y489" s="26"/>
      <c r="Z489" s="26"/>
      <c r="AA489" s="26"/>
      <c r="AB489" s="26"/>
      <c r="AC489" s="26"/>
      <c r="AD489" s="26"/>
      <c r="AE489" s="26"/>
      <c r="AF489" s="26"/>
      <c r="AG489" s="26"/>
      <c r="AH489" s="26"/>
      <c r="AI489" s="26"/>
      <c r="AJ489" s="26"/>
      <c r="AK489" s="26"/>
      <c r="AL489" s="26"/>
      <c r="AM489" s="26"/>
      <c r="AN489" s="26"/>
      <c r="AO489" s="26"/>
      <c r="AP489" s="26"/>
      <c r="AQ489" s="26"/>
      <c r="AR489" s="26"/>
      <c r="AS489" s="26"/>
      <c r="AT489" s="26"/>
      <c r="AU489" s="26"/>
      <c r="AV489" s="26"/>
      <c r="AW489" s="26"/>
      <c r="AX489" s="26"/>
      <c r="AY489" s="26"/>
    </row>
    <row r="490" spans="2:51">
      <c r="S490" s="26"/>
      <c r="T490" s="26"/>
      <c r="U490" s="26"/>
      <c r="V490" s="26"/>
      <c r="W490" s="26"/>
      <c r="X490" s="26"/>
      <c r="Y490" s="26"/>
      <c r="Z490" s="26"/>
      <c r="AA490" s="26"/>
      <c r="AB490" s="26"/>
      <c r="AC490" s="26"/>
      <c r="AD490" s="26"/>
      <c r="AE490" s="26"/>
      <c r="AF490" s="26"/>
      <c r="AG490" s="26"/>
      <c r="AH490" s="26"/>
      <c r="AI490" s="26"/>
      <c r="AJ490" s="26"/>
      <c r="AK490" s="26"/>
      <c r="AL490" s="26"/>
      <c r="AM490" s="26"/>
      <c r="AN490" s="26"/>
      <c r="AO490" s="26"/>
      <c r="AP490" s="26"/>
      <c r="AQ490" s="26"/>
      <c r="AR490" s="26"/>
      <c r="AS490" s="26"/>
      <c r="AT490" s="26"/>
      <c r="AU490" s="26"/>
      <c r="AV490" s="26"/>
      <c r="AW490" s="26"/>
      <c r="AX490" s="26"/>
      <c r="AY490" s="26"/>
    </row>
    <row r="491" spans="2:51">
      <c r="S491" s="26"/>
      <c r="T491" s="26"/>
      <c r="U491" s="26"/>
      <c r="V491" s="26"/>
      <c r="W491" s="26"/>
      <c r="X491" s="26"/>
      <c r="Y491" s="26"/>
      <c r="Z491" s="26"/>
      <c r="AA491" s="26"/>
      <c r="AB491" s="26"/>
      <c r="AC491" s="26"/>
      <c r="AD491" s="26"/>
      <c r="AE491" s="26"/>
      <c r="AF491" s="26"/>
      <c r="AG491" s="26"/>
      <c r="AH491" s="26"/>
      <c r="AI491" s="26"/>
      <c r="AJ491" s="26"/>
      <c r="AK491" s="26"/>
      <c r="AL491" s="26"/>
      <c r="AM491" s="26"/>
      <c r="AN491" s="26"/>
      <c r="AO491" s="26"/>
      <c r="AP491" s="26"/>
      <c r="AQ491" s="26"/>
      <c r="AR491" s="26"/>
      <c r="AS491" s="26"/>
      <c r="AT491" s="26"/>
      <c r="AU491" s="26"/>
      <c r="AV491" s="26"/>
      <c r="AW491" s="26"/>
      <c r="AX491" s="26"/>
      <c r="AY491" s="26"/>
    </row>
    <row r="492" spans="2:51">
      <c r="B492" s="50" t="s">
        <v>238</v>
      </c>
      <c r="S492" s="26"/>
      <c r="T492" s="26"/>
      <c r="U492" s="26"/>
      <c r="V492" s="26"/>
      <c r="W492" s="26"/>
      <c r="X492" s="26"/>
      <c r="Y492" s="26"/>
      <c r="Z492" s="26"/>
      <c r="AA492" s="26"/>
      <c r="AB492" s="26"/>
      <c r="AC492" s="26"/>
      <c r="AD492" s="26"/>
      <c r="AE492" s="26"/>
      <c r="AF492" s="26"/>
      <c r="AG492" s="26"/>
      <c r="AH492" s="26"/>
      <c r="AI492" s="26"/>
      <c r="AJ492" s="26"/>
      <c r="AK492" s="26"/>
      <c r="AL492" s="26"/>
      <c r="AM492" s="26"/>
      <c r="AN492" s="26"/>
      <c r="AO492" s="26"/>
      <c r="AP492" s="26"/>
      <c r="AQ492" s="26"/>
      <c r="AR492" s="26"/>
      <c r="AS492" s="26"/>
      <c r="AT492" s="26"/>
      <c r="AU492" s="26"/>
      <c r="AV492" s="26"/>
      <c r="AW492" s="26"/>
      <c r="AX492" s="26"/>
      <c r="AY492" s="26"/>
    </row>
    <row r="493" spans="2:51">
      <c r="C493" s="50"/>
      <c r="D493" s="50"/>
      <c r="J493" s="6"/>
      <c r="K493" s="6"/>
      <c r="L493" s="6"/>
      <c r="M493" s="6"/>
      <c r="N493" s="6"/>
      <c r="O493" s="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c r="AO493" s="26"/>
      <c r="AP493" s="26"/>
      <c r="AQ493" s="26"/>
      <c r="AR493" s="26"/>
      <c r="AS493" s="26"/>
      <c r="AT493" s="26"/>
      <c r="AU493" s="26"/>
      <c r="AV493" s="26"/>
      <c r="AW493" s="26"/>
      <c r="AX493" s="26"/>
      <c r="AY493" s="26"/>
    </row>
    <row r="494" spans="2:51">
      <c r="B494" s="31"/>
      <c r="C494" s="50"/>
      <c r="D494" s="50"/>
      <c r="J494" s="6"/>
      <c r="K494" s="6"/>
      <c r="L494" s="6"/>
      <c r="M494" s="6"/>
      <c r="N494" s="6"/>
      <c r="O494" s="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c r="AO494" s="26"/>
      <c r="AP494" s="26"/>
      <c r="AQ494" s="26"/>
      <c r="AR494" s="26"/>
      <c r="AS494" s="26"/>
      <c r="AT494" s="26"/>
      <c r="AU494" s="26"/>
      <c r="AV494" s="26"/>
      <c r="AW494" s="26"/>
      <c r="AX494" s="26"/>
      <c r="AY494" s="26"/>
    </row>
    <row r="495" spans="2:51">
      <c r="B495" s="31"/>
      <c r="C495" s="50"/>
      <c r="D495" s="50"/>
      <c r="S495" s="26"/>
      <c r="T495" s="26"/>
      <c r="U495" s="26"/>
      <c r="V495" s="26"/>
      <c r="W495" s="26"/>
      <c r="X495" s="26"/>
      <c r="Y495" s="26"/>
      <c r="Z495" s="26"/>
      <c r="AA495" s="26"/>
      <c r="AB495" s="26"/>
      <c r="AC495" s="26"/>
      <c r="AD495" s="26"/>
      <c r="AE495" s="26"/>
      <c r="AF495" s="26"/>
      <c r="AG495" s="26"/>
      <c r="AH495" s="26"/>
      <c r="AI495" s="26"/>
      <c r="AJ495" s="26"/>
      <c r="AK495" s="26"/>
      <c r="AL495" s="26"/>
      <c r="AM495" s="26"/>
      <c r="AN495" s="26"/>
      <c r="AO495" s="26"/>
      <c r="AP495" s="26"/>
      <c r="AQ495" s="26"/>
      <c r="AR495" s="26"/>
      <c r="AS495" s="26"/>
      <c r="AT495" s="26"/>
      <c r="AU495" s="26"/>
      <c r="AV495" s="26"/>
      <c r="AW495" s="26"/>
      <c r="AX495" s="26"/>
      <c r="AY495" s="26"/>
    </row>
    <row r="496" spans="2:51">
      <c r="B496" s="31"/>
      <c r="C496" s="50"/>
      <c r="D496" s="50"/>
      <c r="S496" s="26"/>
      <c r="T496" s="26"/>
      <c r="U496" s="26"/>
      <c r="V496" s="26"/>
      <c r="W496" s="26"/>
      <c r="X496" s="26"/>
      <c r="Y496" s="26"/>
      <c r="Z496" s="26"/>
      <c r="AA496" s="26"/>
      <c r="AB496" s="26"/>
      <c r="AC496" s="26"/>
      <c r="AD496" s="26"/>
      <c r="AE496" s="26"/>
      <c r="AF496" s="26"/>
      <c r="AG496" s="26"/>
      <c r="AH496" s="26"/>
      <c r="AI496" s="26"/>
      <c r="AJ496" s="26"/>
      <c r="AK496" s="26"/>
      <c r="AL496" s="26"/>
      <c r="AM496" s="26"/>
      <c r="AN496" s="26"/>
      <c r="AO496" s="26"/>
      <c r="AP496" s="26"/>
      <c r="AQ496" s="26"/>
      <c r="AR496" s="26"/>
      <c r="AS496" s="26"/>
      <c r="AT496" s="26"/>
      <c r="AU496" s="26"/>
      <c r="AV496" s="26"/>
      <c r="AW496" s="26"/>
      <c r="AX496" s="26"/>
      <c r="AY496" s="26"/>
    </row>
    <row r="497" spans="2:51">
      <c r="B497" s="31"/>
      <c r="C497" s="50"/>
      <c r="D497" s="50"/>
      <c r="S497" s="26"/>
      <c r="T497" s="26"/>
      <c r="U497" s="26"/>
      <c r="V497" s="26"/>
      <c r="W497" s="26"/>
      <c r="X497" s="26"/>
      <c r="Y497" s="26"/>
      <c r="Z497" s="26"/>
      <c r="AA497" s="26"/>
      <c r="AB497" s="26"/>
      <c r="AC497" s="26"/>
      <c r="AD497" s="26"/>
      <c r="AE497" s="26"/>
      <c r="AF497" s="26"/>
      <c r="AG497" s="26"/>
      <c r="AH497" s="26"/>
      <c r="AI497" s="26"/>
      <c r="AJ497" s="26"/>
      <c r="AK497" s="26"/>
      <c r="AL497" s="26"/>
      <c r="AM497" s="26"/>
      <c r="AN497" s="26"/>
      <c r="AO497" s="26"/>
      <c r="AP497" s="26"/>
      <c r="AQ497" s="26"/>
      <c r="AR497" s="26"/>
      <c r="AS497" s="26"/>
      <c r="AT497" s="26"/>
      <c r="AU497" s="26"/>
      <c r="AV497" s="26"/>
      <c r="AW497" s="26"/>
      <c r="AX497" s="26"/>
      <c r="AY497" s="26"/>
    </row>
    <row r="498" spans="2:51">
      <c r="S498" s="26"/>
      <c r="T498" s="26"/>
      <c r="U498" s="26"/>
      <c r="V498" s="26"/>
      <c r="W498" s="26"/>
      <c r="X498" s="26"/>
      <c r="Y498" s="26"/>
      <c r="Z498" s="26"/>
      <c r="AA498" s="26"/>
      <c r="AB498" s="26"/>
      <c r="AC498" s="26"/>
      <c r="AD498" s="26"/>
      <c r="AE498" s="26"/>
      <c r="AF498" s="26"/>
      <c r="AG498" s="26"/>
      <c r="AH498" s="26"/>
      <c r="AI498" s="26"/>
      <c r="AJ498" s="26"/>
      <c r="AK498" s="26"/>
      <c r="AL498" s="26"/>
      <c r="AM498" s="26"/>
      <c r="AN498" s="26"/>
      <c r="AO498" s="26"/>
      <c r="AP498" s="26"/>
      <c r="AQ498" s="26"/>
      <c r="AR498" s="26"/>
      <c r="AS498" s="26"/>
      <c r="AT498" s="26"/>
      <c r="AU498" s="26"/>
      <c r="AV498" s="26"/>
      <c r="AW498" s="26"/>
      <c r="AX498" s="26"/>
      <c r="AY498" s="26"/>
    </row>
    <row r="499" spans="2:51">
      <c r="S499" s="26"/>
      <c r="T499" s="26"/>
      <c r="U499" s="26"/>
      <c r="V499" s="26"/>
      <c r="W499" s="26"/>
      <c r="X499" s="26"/>
      <c r="Y499" s="26"/>
      <c r="Z499" s="26"/>
      <c r="AA499" s="26"/>
      <c r="AB499" s="26"/>
      <c r="AC499" s="26"/>
      <c r="AD499" s="26"/>
      <c r="AE499" s="26"/>
      <c r="AF499" s="26"/>
      <c r="AG499" s="26"/>
      <c r="AH499" s="26"/>
      <c r="AI499" s="26"/>
      <c r="AJ499" s="26"/>
      <c r="AK499" s="26"/>
      <c r="AL499" s="26"/>
      <c r="AM499" s="26"/>
      <c r="AN499" s="26"/>
      <c r="AO499" s="26"/>
      <c r="AP499" s="26"/>
      <c r="AQ499" s="26"/>
      <c r="AR499" s="26"/>
      <c r="AS499" s="26"/>
      <c r="AT499" s="26"/>
      <c r="AU499" s="26"/>
      <c r="AV499" s="26"/>
      <c r="AW499" s="26"/>
      <c r="AX499" s="26"/>
      <c r="AY499" s="26"/>
    </row>
    <row r="500" spans="2:51">
      <c r="S500" s="26"/>
      <c r="T500" s="26"/>
      <c r="U500" s="26"/>
      <c r="V500" s="26"/>
      <c r="W500" s="26"/>
      <c r="X500" s="26"/>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26"/>
      <c r="AW500" s="26"/>
      <c r="AX500" s="26"/>
      <c r="AY500" s="26"/>
    </row>
    <row r="501" spans="2:51">
      <c r="S501" s="26"/>
      <c r="T501" s="26"/>
      <c r="U501" s="26"/>
      <c r="V501" s="26"/>
      <c r="W501" s="26"/>
      <c r="X501" s="26"/>
      <c r="Y501" s="26"/>
      <c r="Z501" s="26"/>
      <c r="AA501" s="26"/>
      <c r="AB501" s="26"/>
      <c r="AC501" s="26"/>
      <c r="AD501" s="26"/>
      <c r="AE501" s="26"/>
      <c r="AF501" s="26"/>
      <c r="AG501" s="26"/>
      <c r="AH501" s="26"/>
      <c r="AI501" s="26"/>
      <c r="AJ501" s="26"/>
      <c r="AK501" s="26"/>
      <c r="AL501" s="26"/>
      <c r="AM501" s="26"/>
      <c r="AN501" s="26"/>
      <c r="AO501" s="26"/>
      <c r="AP501" s="26"/>
      <c r="AQ501" s="26"/>
      <c r="AR501" s="26"/>
      <c r="AS501" s="26"/>
      <c r="AT501" s="26"/>
      <c r="AU501" s="26"/>
      <c r="AV501" s="26"/>
      <c r="AW501" s="26"/>
      <c r="AX501" s="26"/>
      <c r="AY501" s="26"/>
    </row>
    <row r="502" spans="2:51">
      <c r="S502" s="26"/>
      <c r="T502" s="26"/>
      <c r="U502" s="26"/>
      <c r="V502" s="26"/>
      <c r="W502" s="26"/>
      <c r="X502" s="26"/>
      <c r="Y502" s="26"/>
      <c r="Z502" s="26"/>
      <c r="AA502" s="26"/>
      <c r="AB502" s="26"/>
      <c r="AC502" s="26"/>
      <c r="AD502" s="26"/>
      <c r="AE502" s="26"/>
      <c r="AF502" s="26"/>
      <c r="AG502" s="26"/>
      <c r="AH502" s="26"/>
      <c r="AI502" s="26"/>
      <c r="AJ502" s="26"/>
      <c r="AK502" s="26"/>
      <c r="AL502" s="26"/>
      <c r="AM502" s="26"/>
      <c r="AN502" s="26"/>
      <c r="AO502" s="26"/>
      <c r="AP502" s="26"/>
      <c r="AQ502" s="26"/>
      <c r="AR502" s="26"/>
      <c r="AS502" s="26"/>
      <c r="AT502" s="26"/>
      <c r="AU502" s="26"/>
      <c r="AV502" s="26"/>
      <c r="AW502" s="26"/>
      <c r="AX502" s="26"/>
      <c r="AY502" s="26"/>
    </row>
    <row r="503" spans="2:51">
      <c r="S503" s="26"/>
      <c r="T503" s="26"/>
      <c r="U503" s="26"/>
      <c r="V503" s="26"/>
      <c r="W503" s="26"/>
      <c r="X503" s="26"/>
      <c r="Y503" s="26"/>
      <c r="Z503" s="26"/>
      <c r="AA503" s="26"/>
      <c r="AB503" s="26"/>
      <c r="AC503" s="26"/>
      <c r="AD503" s="26"/>
      <c r="AE503" s="26"/>
      <c r="AF503" s="26"/>
      <c r="AG503" s="26"/>
      <c r="AH503" s="26"/>
      <c r="AI503" s="26"/>
      <c r="AJ503" s="26"/>
      <c r="AK503" s="26"/>
      <c r="AL503" s="26"/>
      <c r="AM503" s="26"/>
      <c r="AN503" s="26"/>
      <c r="AO503" s="26"/>
      <c r="AP503" s="26"/>
      <c r="AQ503" s="26"/>
      <c r="AR503" s="26"/>
      <c r="AS503" s="26"/>
      <c r="AT503" s="26"/>
      <c r="AU503" s="26"/>
      <c r="AV503" s="26"/>
      <c r="AW503" s="26"/>
      <c r="AX503" s="26"/>
      <c r="AY503" s="26"/>
    </row>
    <row r="504" spans="2:51">
      <c r="S504" s="26"/>
      <c r="T504" s="26"/>
      <c r="U504" s="26"/>
      <c r="V504" s="26"/>
      <c r="W504" s="26"/>
      <c r="X504" s="26"/>
      <c r="Y504" s="26"/>
      <c r="Z504" s="26"/>
      <c r="AA504" s="26"/>
      <c r="AB504" s="26"/>
      <c r="AC504" s="26"/>
      <c r="AD504" s="26"/>
      <c r="AE504" s="26"/>
      <c r="AF504" s="26"/>
      <c r="AG504" s="26"/>
      <c r="AH504" s="26"/>
      <c r="AI504" s="26"/>
      <c r="AJ504" s="26"/>
      <c r="AK504" s="26"/>
      <c r="AL504" s="26"/>
      <c r="AM504" s="26"/>
      <c r="AN504" s="26"/>
      <c r="AO504" s="26"/>
      <c r="AP504" s="26"/>
      <c r="AQ504" s="26"/>
      <c r="AR504" s="26"/>
      <c r="AS504" s="26"/>
      <c r="AT504" s="26"/>
      <c r="AU504" s="26"/>
      <c r="AV504" s="26"/>
      <c r="AW504" s="26"/>
      <c r="AX504" s="26"/>
      <c r="AY504" s="26"/>
    </row>
    <row r="505" spans="2:51">
      <c r="S505" s="26"/>
      <c r="T505" s="26"/>
      <c r="U505" s="26"/>
      <c r="V505" s="26"/>
      <c r="W505" s="26"/>
      <c r="X505" s="26"/>
      <c r="Y505" s="26"/>
      <c r="Z505" s="26"/>
      <c r="AA505" s="26"/>
      <c r="AB505" s="26"/>
      <c r="AC505" s="26"/>
      <c r="AD505" s="26"/>
      <c r="AE505" s="26"/>
      <c r="AF505" s="26"/>
      <c r="AG505" s="26"/>
      <c r="AH505" s="26"/>
      <c r="AI505" s="26"/>
      <c r="AJ505" s="26"/>
      <c r="AK505" s="26"/>
      <c r="AL505" s="26"/>
      <c r="AM505" s="26"/>
      <c r="AN505" s="26"/>
      <c r="AO505" s="26"/>
      <c r="AP505" s="26"/>
      <c r="AQ505" s="26"/>
      <c r="AR505" s="26"/>
      <c r="AS505" s="26"/>
      <c r="AT505" s="26"/>
      <c r="AU505" s="26"/>
      <c r="AV505" s="26"/>
      <c r="AW505" s="26"/>
      <c r="AX505" s="26"/>
      <c r="AY505" s="26"/>
    </row>
    <row r="506" spans="2:51">
      <c r="S506" s="26"/>
      <c r="T506" s="26"/>
      <c r="U506" s="26"/>
      <c r="V506" s="26"/>
      <c r="W506" s="26"/>
      <c r="X506" s="26"/>
      <c r="Y506" s="26"/>
      <c r="Z506" s="26"/>
      <c r="AA506" s="26"/>
      <c r="AB506" s="26"/>
      <c r="AC506" s="26"/>
      <c r="AD506" s="26"/>
      <c r="AE506" s="26"/>
      <c r="AF506" s="26"/>
      <c r="AG506" s="26"/>
      <c r="AH506" s="26"/>
      <c r="AI506" s="26"/>
      <c r="AJ506" s="26"/>
      <c r="AK506" s="26"/>
      <c r="AL506" s="26"/>
      <c r="AM506" s="26"/>
      <c r="AN506" s="26"/>
      <c r="AO506" s="26"/>
      <c r="AP506" s="26"/>
      <c r="AQ506" s="26"/>
      <c r="AR506" s="26"/>
      <c r="AS506" s="26"/>
      <c r="AT506" s="26"/>
      <c r="AU506" s="26"/>
      <c r="AV506" s="26"/>
      <c r="AW506" s="26"/>
      <c r="AX506" s="26"/>
      <c r="AY506" s="26"/>
    </row>
    <row r="507" spans="2:51">
      <c r="S507" s="26"/>
      <c r="T507" s="26"/>
      <c r="U507" s="26"/>
      <c r="V507" s="26"/>
      <c r="W507" s="26"/>
      <c r="X507" s="26"/>
      <c r="Y507" s="26"/>
      <c r="Z507" s="26"/>
      <c r="AA507" s="26"/>
      <c r="AB507" s="26"/>
      <c r="AC507" s="26"/>
      <c r="AD507" s="26"/>
      <c r="AE507" s="26"/>
      <c r="AF507" s="26"/>
      <c r="AG507" s="26"/>
      <c r="AH507" s="26"/>
      <c r="AI507" s="26"/>
      <c r="AJ507" s="26"/>
      <c r="AK507" s="26"/>
      <c r="AL507" s="26"/>
      <c r="AM507" s="26"/>
      <c r="AN507" s="26"/>
      <c r="AO507" s="26"/>
      <c r="AP507" s="26"/>
      <c r="AQ507" s="26"/>
      <c r="AR507" s="26"/>
      <c r="AS507" s="26"/>
      <c r="AT507" s="26"/>
      <c r="AU507" s="26"/>
      <c r="AV507" s="26"/>
      <c r="AW507" s="26"/>
      <c r="AX507" s="26"/>
      <c r="AY507" s="26"/>
    </row>
    <row r="508" spans="2:51">
      <c r="S508" s="26"/>
      <c r="T508" s="26"/>
      <c r="U508" s="26"/>
      <c r="V508" s="26"/>
      <c r="W508" s="26"/>
      <c r="X508" s="26"/>
      <c r="Y508" s="26"/>
      <c r="Z508" s="26"/>
      <c r="AA508" s="26"/>
      <c r="AB508" s="26"/>
      <c r="AC508" s="26"/>
      <c r="AD508" s="26"/>
      <c r="AE508" s="26"/>
      <c r="AF508" s="26"/>
      <c r="AG508" s="26"/>
      <c r="AH508" s="26"/>
      <c r="AI508" s="26"/>
      <c r="AJ508" s="26"/>
      <c r="AK508" s="26"/>
      <c r="AL508" s="26"/>
      <c r="AM508" s="26"/>
      <c r="AN508" s="26"/>
      <c r="AO508" s="26"/>
      <c r="AP508" s="26"/>
      <c r="AQ508" s="26"/>
      <c r="AR508" s="26"/>
      <c r="AS508" s="26"/>
      <c r="AT508" s="26"/>
      <c r="AU508" s="26"/>
      <c r="AV508" s="26"/>
      <c r="AW508" s="26"/>
      <c r="AX508" s="26"/>
      <c r="AY508" s="26"/>
    </row>
    <row r="509" spans="2:51">
      <c r="S509" s="26"/>
      <c r="T509" s="26"/>
      <c r="U509" s="26"/>
      <c r="V509" s="26"/>
      <c r="W509" s="26"/>
      <c r="X509" s="26"/>
      <c r="Y509" s="26"/>
      <c r="Z509" s="26"/>
      <c r="AA509" s="26"/>
      <c r="AB509" s="26"/>
      <c r="AC509" s="26"/>
      <c r="AD509" s="26"/>
      <c r="AE509" s="26"/>
      <c r="AF509" s="26"/>
      <c r="AG509" s="26"/>
      <c r="AH509" s="26"/>
      <c r="AI509" s="26"/>
      <c r="AJ509" s="26"/>
      <c r="AK509" s="26"/>
      <c r="AL509" s="26"/>
      <c r="AM509" s="26"/>
      <c r="AN509" s="26"/>
      <c r="AO509" s="26"/>
      <c r="AP509" s="26"/>
      <c r="AQ509" s="26"/>
      <c r="AR509" s="26"/>
      <c r="AS509" s="26"/>
      <c r="AT509" s="26"/>
      <c r="AU509" s="26"/>
      <c r="AV509" s="26"/>
      <c r="AW509" s="26"/>
      <c r="AX509" s="26"/>
      <c r="AY509" s="26"/>
    </row>
    <row r="510" spans="2:51">
      <c r="S510" s="26"/>
      <c r="T510" s="26"/>
      <c r="U510" s="26"/>
      <c r="V510" s="26"/>
      <c r="W510" s="26"/>
      <c r="X510" s="26"/>
      <c r="Y510" s="26"/>
      <c r="Z510" s="26"/>
      <c r="AA510" s="26"/>
      <c r="AB510" s="26"/>
      <c r="AC510" s="26"/>
      <c r="AD510" s="26"/>
      <c r="AE510" s="26"/>
      <c r="AF510" s="26"/>
      <c r="AG510" s="26"/>
      <c r="AH510" s="26"/>
      <c r="AI510" s="26"/>
      <c r="AJ510" s="26"/>
      <c r="AK510" s="26"/>
      <c r="AL510" s="26"/>
      <c r="AM510" s="26"/>
      <c r="AN510" s="26"/>
      <c r="AO510" s="26"/>
      <c r="AP510" s="26"/>
      <c r="AQ510" s="26"/>
      <c r="AR510" s="26"/>
      <c r="AS510" s="26"/>
      <c r="AT510" s="26"/>
      <c r="AU510" s="26"/>
      <c r="AV510" s="26"/>
      <c r="AW510" s="26"/>
      <c r="AX510" s="26"/>
      <c r="AY510" s="26"/>
    </row>
    <row r="511" spans="2:51">
      <c r="S511" s="26"/>
      <c r="T511" s="26"/>
      <c r="U511" s="26"/>
      <c r="V511" s="26"/>
      <c r="W511" s="26"/>
      <c r="X511" s="26"/>
      <c r="Y511" s="26"/>
      <c r="Z511" s="26"/>
      <c r="AA511" s="26"/>
      <c r="AB511" s="26"/>
      <c r="AC511" s="26"/>
      <c r="AD511" s="26"/>
      <c r="AE511" s="26"/>
      <c r="AF511" s="26"/>
      <c r="AG511" s="26"/>
      <c r="AH511" s="26"/>
      <c r="AI511" s="26"/>
      <c r="AJ511" s="26"/>
      <c r="AK511" s="26"/>
      <c r="AL511" s="26"/>
      <c r="AM511" s="26"/>
      <c r="AN511" s="26"/>
      <c r="AO511" s="26"/>
      <c r="AP511" s="26"/>
      <c r="AQ511" s="26"/>
      <c r="AR511" s="26"/>
      <c r="AS511" s="26"/>
      <c r="AT511" s="26"/>
      <c r="AU511" s="26"/>
      <c r="AV511" s="26"/>
      <c r="AW511" s="26"/>
      <c r="AX511" s="26"/>
      <c r="AY511" s="26"/>
    </row>
    <row r="512" spans="2:51">
      <c r="S512" s="26"/>
      <c r="T512" s="26"/>
      <c r="U512" s="26"/>
      <c r="V512" s="26"/>
      <c r="W512" s="26"/>
      <c r="X512" s="26"/>
      <c r="Y512" s="26"/>
      <c r="Z512" s="26"/>
      <c r="AA512" s="26"/>
      <c r="AB512" s="26"/>
      <c r="AC512" s="26"/>
      <c r="AD512" s="26"/>
      <c r="AE512" s="26"/>
      <c r="AF512" s="26"/>
      <c r="AG512" s="26"/>
      <c r="AH512" s="26"/>
      <c r="AI512" s="26"/>
      <c r="AJ512" s="26"/>
      <c r="AK512" s="26"/>
      <c r="AL512" s="26"/>
      <c r="AM512" s="26"/>
      <c r="AN512" s="26"/>
      <c r="AO512" s="26"/>
      <c r="AP512" s="26"/>
      <c r="AQ512" s="26"/>
      <c r="AR512" s="26"/>
      <c r="AS512" s="26"/>
      <c r="AT512" s="26"/>
      <c r="AU512" s="26"/>
      <c r="AV512" s="26"/>
      <c r="AW512" s="26"/>
      <c r="AX512" s="26"/>
      <c r="AY512" s="26"/>
    </row>
    <row r="513" spans="2:51">
      <c r="S513" s="26"/>
      <c r="T513" s="26"/>
      <c r="U513" s="26"/>
      <c r="V513" s="26"/>
      <c r="W513" s="26"/>
      <c r="X513" s="26"/>
      <c r="Y513" s="26"/>
      <c r="Z513" s="26"/>
      <c r="AA513" s="26"/>
      <c r="AB513" s="26"/>
      <c r="AC513" s="26"/>
      <c r="AD513" s="26"/>
      <c r="AE513" s="26"/>
      <c r="AF513" s="26"/>
      <c r="AG513" s="26"/>
      <c r="AH513" s="26"/>
      <c r="AI513" s="26"/>
      <c r="AJ513" s="26"/>
      <c r="AK513" s="26"/>
      <c r="AL513" s="26"/>
      <c r="AM513" s="26"/>
      <c r="AN513" s="26"/>
      <c r="AO513" s="26"/>
      <c r="AP513" s="26"/>
      <c r="AQ513" s="26"/>
      <c r="AR513" s="26"/>
      <c r="AS513" s="26"/>
      <c r="AT513" s="26"/>
      <c r="AU513" s="26"/>
      <c r="AV513" s="26"/>
      <c r="AW513" s="26"/>
      <c r="AX513" s="26"/>
      <c r="AY513" s="26"/>
    </row>
    <row r="514" spans="2:51">
      <c r="S514" s="26"/>
      <c r="T514" s="26"/>
      <c r="U514" s="26"/>
      <c r="V514" s="26"/>
      <c r="W514" s="26"/>
      <c r="X514" s="26"/>
      <c r="Y514" s="26"/>
      <c r="Z514" s="26"/>
      <c r="AA514" s="26"/>
      <c r="AB514" s="26"/>
      <c r="AC514" s="26"/>
      <c r="AD514" s="26"/>
      <c r="AE514" s="26"/>
      <c r="AF514" s="26"/>
      <c r="AG514" s="26"/>
      <c r="AH514" s="26"/>
      <c r="AI514" s="26"/>
      <c r="AJ514" s="26"/>
      <c r="AK514" s="26"/>
      <c r="AL514" s="26"/>
      <c r="AM514" s="26"/>
      <c r="AN514" s="26"/>
      <c r="AO514" s="26"/>
      <c r="AP514" s="26"/>
      <c r="AQ514" s="26"/>
      <c r="AR514" s="26"/>
      <c r="AS514" s="26"/>
      <c r="AT514" s="26"/>
      <c r="AU514" s="26"/>
      <c r="AV514" s="26"/>
      <c r="AW514" s="26"/>
      <c r="AX514" s="26"/>
      <c r="AY514" s="26"/>
    </row>
    <row r="515" spans="2:51">
      <c r="S515" s="26"/>
      <c r="T515" s="26"/>
      <c r="U515" s="26"/>
      <c r="V515" s="26"/>
      <c r="W515" s="26"/>
      <c r="X515" s="26"/>
      <c r="Y515" s="26"/>
      <c r="Z515" s="26"/>
      <c r="AA515" s="26"/>
      <c r="AB515" s="26"/>
      <c r="AC515" s="26"/>
      <c r="AD515" s="26"/>
      <c r="AE515" s="26"/>
      <c r="AF515" s="26"/>
      <c r="AG515" s="26"/>
      <c r="AH515" s="26"/>
      <c r="AI515" s="26"/>
      <c r="AJ515" s="26"/>
      <c r="AK515" s="26"/>
      <c r="AL515" s="26"/>
      <c r="AM515" s="26"/>
      <c r="AN515" s="26"/>
      <c r="AO515" s="26"/>
      <c r="AP515" s="26"/>
      <c r="AQ515" s="26"/>
      <c r="AR515" s="26"/>
      <c r="AS515" s="26"/>
      <c r="AT515" s="26"/>
      <c r="AU515" s="26"/>
      <c r="AV515" s="26"/>
      <c r="AW515" s="26"/>
      <c r="AX515" s="26"/>
      <c r="AY515" s="26"/>
    </row>
    <row r="516" spans="2:51">
      <c r="S516" s="26"/>
      <c r="T516" s="26"/>
      <c r="U516" s="26"/>
      <c r="V516" s="26"/>
      <c r="W516" s="26"/>
      <c r="X516" s="26"/>
      <c r="Y516" s="26"/>
      <c r="Z516" s="26"/>
      <c r="AA516" s="26"/>
      <c r="AB516" s="26"/>
      <c r="AC516" s="26"/>
      <c r="AD516" s="26"/>
      <c r="AE516" s="26"/>
      <c r="AF516" s="26"/>
      <c r="AG516" s="26"/>
      <c r="AH516" s="26"/>
      <c r="AI516" s="26"/>
      <c r="AJ516" s="26"/>
      <c r="AK516" s="26"/>
      <c r="AL516" s="26"/>
      <c r="AM516" s="26"/>
      <c r="AN516" s="26"/>
      <c r="AO516" s="26"/>
      <c r="AP516" s="26"/>
      <c r="AQ516" s="26"/>
      <c r="AR516" s="26"/>
      <c r="AS516" s="26"/>
      <c r="AT516" s="26"/>
      <c r="AU516" s="26"/>
      <c r="AV516" s="26"/>
      <c r="AW516" s="26"/>
      <c r="AX516" s="26"/>
      <c r="AY516" s="26"/>
    </row>
    <row r="517" spans="2:51">
      <c r="S517" s="26"/>
      <c r="T517" s="26"/>
      <c r="U517" s="26"/>
      <c r="V517" s="26"/>
      <c r="W517" s="26"/>
      <c r="X517" s="26"/>
      <c r="Y517" s="26"/>
      <c r="Z517" s="26"/>
      <c r="AA517" s="26"/>
      <c r="AB517" s="26"/>
      <c r="AC517" s="26"/>
      <c r="AD517" s="26"/>
      <c r="AE517" s="26"/>
      <c r="AF517" s="26"/>
      <c r="AG517" s="26"/>
      <c r="AH517" s="26"/>
      <c r="AI517" s="26"/>
      <c r="AJ517" s="26"/>
      <c r="AK517" s="26"/>
      <c r="AL517" s="26"/>
      <c r="AM517" s="26"/>
      <c r="AN517" s="26"/>
      <c r="AO517" s="26"/>
      <c r="AP517" s="26"/>
      <c r="AQ517" s="26"/>
      <c r="AR517" s="26"/>
      <c r="AS517" s="26"/>
      <c r="AT517" s="26"/>
      <c r="AU517" s="26"/>
      <c r="AV517" s="26"/>
      <c r="AW517" s="26"/>
      <c r="AX517" s="26"/>
      <c r="AY517" s="26"/>
    </row>
    <row r="518" spans="2:51">
      <c r="S518" s="26"/>
      <c r="T518" s="26"/>
      <c r="U518" s="26"/>
      <c r="V518" s="26"/>
      <c r="W518" s="26"/>
      <c r="X518" s="26"/>
      <c r="Y518" s="26"/>
      <c r="Z518" s="26"/>
      <c r="AA518" s="26"/>
      <c r="AB518" s="26"/>
      <c r="AC518" s="26"/>
      <c r="AD518" s="26"/>
      <c r="AE518" s="26"/>
      <c r="AF518" s="26"/>
      <c r="AG518" s="26"/>
      <c r="AH518" s="26"/>
      <c r="AI518" s="26"/>
      <c r="AJ518" s="26"/>
      <c r="AK518" s="26"/>
      <c r="AL518" s="26"/>
      <c r="AM518" s="26"/>
      <c r="AN518" s="26"/>
      <c r="AO518" s="26"/>
      <c r="AP518" s="26"/>
      <c r="AQ518" s="26"/>
      <c r="AR518" s="26"/>
      <c r="AS518" s="26"/>
      <c r="AT518" s="26"/>
      <c r="AU518" s="26"/>
      <c r="AV518" s="26"/>
      <c r="AW518" s="26"/>
      <c r="AX518" s="26"/>
      <c r="AY518" s="26"/>
    </row>
    <row r="519" spans="2:51">
      <c r="S519" s="26"/>
      <c r="T519" s="26"/>
      <c r="U519" s="26"/>
      <c r="V519" s="26"/>
      <c r="W519" s="26"/>
      <c r="X519" s="26"/>
      <c r="Y519" s="26"/>
      <c r="Z519" s="26"/>
      <c r="AA519" s="26"/>
      <c r="AB519" s="26"/>
      <c r="AC519" s="26"/>
      <c r="AD519" s="26"/>
      <c r="AE519" s="26"/>
      <c r="AF519" s="26"/>
      <c r="AG519" s="26"/>
      <c r="AH519" s="26"/>
      <c r="AI519" s="26"/>
      <c r="AJ519" s="26"/>
      <c r="AK519" s="26"/>
      <c r="AL519" s="26"/>
      <c r="AM519" s="26"/>
      <c r="AN519" s="26"/>
      <c r="AO519" s="26"/>
      <c r="AP519" s="26"/>
      <c r="AQ519" s="26"/>
      <c r="AR519" s="26"/>
      <c r="AS519" s="26"/>
      <c r="AT519" s="26"/>
      <c r="AU519" s="26"/>
      <c r="AV519" s="26"/>
      <c r="AW519" s="26"/>
      <c r="AX519" s="26"/>
      <c r="AY519" s="26"/>
    </row>
    <row r="520" spans="2:51">
      <c r="S520" s="26"/>
      <c r="T520" s="26"/>
      <c r="U520" s="26"/>
      <c r="V520" s="26"/>
      <c r="W520" s="26"/>
      <c r="X520" s="26"/>
      <c r="Y520" s="26"/>
      <c r="Z520" s="26"/>
      <c r="AA520" s="26"/>
      <c r="AB520" s="26"/>
      <c r="AC520" s="26"/>
      <c r="AD520" s="26"/>
      <c r="AE520" s="26"/>
      <c r="AF520" s="26"/>
      <c r="AG520" s="26"/>
      <c r="AH520" s="26"/>
      <c r="AI520" s="26"/>
      <c r="AJ520" s="26"/>
      <c r="AK520" s="26"/>
      <c r="AL520" s="26"/>
      <c r="AM520" s="26"/>
      <c r="AN520" s="26"/>
      <c r="AO520" s="26"/>
      <c r="AP520" s="26"/>
      <c r="AQ520" s="26"/>
      <c r="AR520" s="26"/>
      <c r="AS520" s="26"/>
      <c r="AT520" s="26"/>
      <c r="AU520" s="26"/>
      <c r="AV520" s="26"/>
      <c r="AW520" s="26"/>
      <c r="AX520" s="26"/>
      <c r="AY520" s="26"/>
    </row>
    <row r="521" spans="2:51">
      <c r="S521" s="26"/>
      <c r="T521" s="26"/>
      <c r="U521" s="26"/>
      <c r="V521" s="26"/>
      <c r="W521" s="26"/>
      <c r="X521" s="26"/>
      <c r="Y521" s="26"/>
      <c r="Z521" s="26"/>
      <c r="AA521" s="26"/>
      <c r="AB521" s="26"/>
      <c r="AC521" s="26"/>
      <c r="AD521" s="26"/>
      <c r="AE521" s="26"/>
      <c r="AF521" s="26"/>
      <c r="AG521" s="26"/>
      <c r="AH521" s="26"/>
      <c r="AI521" s="26"/>
      <c r="AJ521" s="26"/>
      <c r="AK521" s="26"/>
      <c r="AL521" s="26"/>
      <c r="AM521" s="26"/>
      <c r="AN521" s="26"/>
      <c r="AO521" s="26"/>
      <c r="AP521" s="26"/>
      <c r="AQ521" s="26"/>
      <c r="AR521" s="26"/>
      <c r="AS521" s="26"/>
      <c r="AT521" s="26"/>
      <c r="AU521" s="26"/>
      <c r="AV521" s="26"/>
      <c r="AW521" s="26"/>
      <c r="AX521" s="26"/>
      <c r="AY521" s="26"/>
    </row>
    <row r="522" spans="2:51">
      <c r="B522" s="50" t="s">
        <v>229</v>
      </c>
      <c r="C522" s="50"/>
      <c r="D522" s="50"/>
      <c r="E522" s="50"/>
      <c r="F522" s="50"/>
      <c r="S522" s="26"/>
      <c r="T522" s="26"/>
      <c r="U522" s="26"/>
      <c r="V522" s="26"/>
      <c r="W522" s="26"/>
      <c r="X522" s="26"/>
      <c r="Y522" s="26"/>
      <c r="Z522" s="26"/>
      <c r="AA522" s="26"/>
      <c r="AB522" s="26"/>
      <c r="AC522" s="26"/>
      <c r="AD522" s="26"/>
      <c r="AE522" s="26"/>
      <c r="AF522" s="26"/>
      <c r="AG522" s="26"/>
      <c r="AH522" s="26"/>
      <c r="AI522" s="26"/>
      <c r="AJ522" s="26"/>
      <c r="AK522" s="26"/>
      <c r="AL522" s="26"/>
      <c r="AM522" s="26"/>
      <c r="AN522" s="26"/>
      <c r="AO522" s="26"/>
      <c r="AP522" s="26"/>
      <c r="AQ522" s="26"/>
      <c r="AR522" s="26"/>
      <c r="AS522" s="26"/>
      <c r="AT522" s="26"/>
      <c r="AU522" s="26"/>
      <c r="AV522" s="26"/>
      <c r="AW522" s="26"/>
      <c r="AX522" s="26"/>
      <c r="AY522" s="26"/>
    </row>
    <row r="523" spans="2:51">
      <c r="S523" s="26"/>
      <c r="T523" s="26"/>
      <c r="U523" s="26"/>
      <c r="V523" s="26"/>
      <c r="W523" s="26"/>
      <c r="X523" s="26"/>
      <c r="Y523" s="26"/>
      <c r="Z523" s="26"/>
      <c r="AA523" s="26"/>
      <c r="AB523" s="26"/>
      <c r="AC523" s="26"/>
      <c r="AD523" s="26"/>
      <c r="AE523" s="26"/>
      <c r="AF523" s="26"/>
      <c r="AG523" s="26"/>
      <c r="AH523" s="26"/>
      <c r="AI523" s="26"/>
      <c r="AJ523" s="26"/>
      <c r="AK523" s="26"/>
      <c r="AL523" s="26"/>
      <c r="AM523" s="26"/>
      <c r="AN523" s="26"/>
      <c r="AO523" s="26"/>
      <c r="AP523" s="26"/>
      <c r="AQ523" s="26"/>
      <c r="AR523" s="26"/>
      <c r="AS523" s="26"/>
      <c r="AT523" s="26"/>
      <c r="AU523" s="26"/>
      <c r="AV523" s="26"/>
      <c r="AW523" s="26"/>
      <c r="AX523" s="26"/>
      <c r="AY523" s="26"/>
    </row>
    <row r="524" spans="2:51">
      <c r="S524" s="26"/>
      <c r="T524" s="26"/>
      <c r="U524" s="26"/>
      <c r="V524" s="26"/>
      <c r="W524" s="26"/>
      <c r="X524" s="26"/>
      <c r="Y524" s="26"/>
      <c r="Z524" s="26"/>
      <c r="AA524" s="26"/>
      <c r="AB524" s="26"/>
      <c r="AC524" s="26"/>
      <c r="AD524" s="26"/>
      <c r="AE524" s="26"/>
      <c r="AF524" s="26"/>
      <c r="AG524" s="26"/>
      <c r="AH524" s="26"/>
      <c r="AI524" s="26"/>
      <c r="AJ524" s="26"/>
      <c r="AK524" s="26"/>
      <c r="AL524" s="26"/>
      <c r="AM524" s="26"/>
      <c r="AN524" s="26"/>
      <c r="AO524" s="26"/>
      <c r="AP524" s="26"/>
      <c r="AQ524" s="26"/>
      <c r="AR524" s="26"/>
      <c r="AS524" s="26"/>
      <c r="AT524" s="26"/>
      <c r="AU524" s="26"/>
      <c r="AV524" s="26"/>
      <c r="AW524" s="26"/>
      <c r="AX524" s="26"/>
      <c r="AY524" s="26"/>
    </row>
    <row r="525" spans="2:51">
      <c r="S525" s="26"/>
      <c r="T525" s="26"/>
      <c r="U525" s="26"/>
      <c r="V525" s="26"/>
      <c r="W525" s="26"/>
      <c r="X525" s="26"/>
      <c r="Y525" s="26"/>
      <c r="Z525" s="26"/>
      <c r="AA525" s="26"/>
      <c r="AB525" s="26"/>
      <c r="AC525" s="26"/>
      <c r="AD525" s="26"/>
      <c r="AE525" s="26"/>
      <c r="AF525" s="26"/>
      <c r="AG525" s="26"/>
      <c r="AH525" s="26"/>
      <c r="AI525" s="26"/>
      <c r="AJ525" s="26"/>
      <c r="AK525" s="26"/>
      <c r="AL525" s="26"/>
      <c r="AM525" s="26"/>
      <c r="AN525" s="26"/>
      <c r="AO525" s="26"/>
      <c r="AP525" s="26"/>
      <c r="AQ525" s="26"/>
      <c r="AR525" s="26"/>
      <c r="AS525" s="26"/>
      <c r="AT525" s="26"/>
      <c r="AU525" s="26"/>
      <c r="AV525" s="26"/>
      <c r="AW525" s="26"/>
      <c r="AX525" s="26"/>
      <c r="AY525" s="26"/>
    </row>
    <row r="526" spans="2:51">
      <c r="S526" s="26"/>
      <c r="T526" s="26"/>
      <c r="U526" s="26"/>
      <c r="V526" s="26"/>
      <c r="W526" s="26"/>
      <c r="X526" s="26"/>
      <c r="Y526" s="26"/>
      <c r="Z526" s="26"/>
      <c r="AA526" s="26"/>
      <c r="AB526" s="26"/>
      <c r="AC526" s="26"/>
      <c r="AD526" s="26"/>
      <c r="AE526" s="26"/>
      <c r="AF526" s="26"/>
      <c r="AG526" s="26"/>
      <c r="AH526" s="26"/>
      <c r="AI526" s="26"/>
      <c r="AJ526" s="26"/>
      <c r="AK526" s="26"/>
      <c r="AL526" s="26"/>
      <c r="AM526" s="26"/>
      <c r="AN526" s="26"/>
      <c r="AO526" s="26"/>
      <c r="AP526" s="26"/>
      <c r="AQ526" s="26"/>
      <c r="AR526" s="26"/>
      <c r="AS526" s="26"/>
      <c r="AT526" s="26"/>
      <c r="AU526" s="26"/>
      <c r="AV526" s="26"/>
      <c r="AW526" s="26"/>
      <c r="AX526" s="26"/>
      <c r="AY526" s="26"/>
    </row>
    <row r="527" spans="2:51">
      <c r="S527" s="26"/>
      <c r="T527" s="26"/>
      <c r="U527" s="26"/>
      <c r="V527" s="26"/>
      <c r="W527" s="26"/>
      <c r="X527" s="26"/>
      <c r="Y527" s="26"/>
      <c r="Z527" s="26"/>
      <c r="AA527" s="26"/>
      <c r="AB527" s="26"/>
      <c r="AC527" s="26"/>
      <c r="AD527" s="26"/>
      <c r="AE527" s="26"/>
      <c r="AF527" s="26"/>
      <c r="AG527" s="26"/>
      <c r="AH527" s="26"/>
      <c r="AI527" s="26"/>
      <c r="AJ527" s="26"/>
      <c r="AK527" s="26"/>
      <c r="AL527" s="26"/>
      <c r="AM527" s="26"/>
      <c r="AN527" s="26"/>
      <c r="AO527" s="26"/>
      <c r="AP527" s="26"/>
      <c r="AQ527" s="26"/>
      <c r="AR527" s="26"/>
      <c r="AS527" s="26"/>
      <c r="AT527" s="26"/>
      <c r="AU527" s="26"/>
      <c r="AV527" s="26"/>
      <c r="AW527" s="26"/>
      <c r="AX527" s="26"/>
      <c r="AY527" s="26"/>
    </row>
    <row r="528" spans="2:51">
      <c r="S528" s="26"/>
      <c r="T528" s="26"/>
      <c r="U528" s="26"/>
      <c r="V528" s="26"/>
      <c r="W528" s="26"/>
      <c r="X528" s="26"/>
      <c r="Y528" s="26"/>
      <c r="Z528" s="26"/>
      <c r="AA528" s="26"/>
      <c r="AB528" s="26"/>
      <c r="AC528" s="26"/>
      <c r="AD528" s="26"/>
      <c r="AE528" s="26"/>
      <c r="AF528" s="26"/>
      <c r="AG528" s="26"/>
      <c r="AH528" s="26"/>
      <c r="AI528" s="26"/>
      <c r="AJ528" s="26"/>
      <c r="AK528" s="26"/>
      <c r="AL528" s="26"/>
      <c r="AM528" s="26"/>
      <c r="AN528" s="26"/>
      <c r="AO528" s="26"/>
      <c r="AP528" s="26"/>
      <c r="AQ528" s="26"/>
      <c r="AR528" s="26"/>
      <c r="AS528" s="26"/>
      <c r="AT528" s="26"/>
      <c r="AU528" s="26"/>
      <c r="AV528" s="26"/>
      <c r="AW528" s="26"/>
      <c r="AX528" s="26"/>
      <c r="AY528" s="26"/>
    </row>
    <row r="529" spans="19:51">
      <c r="S529" s="26"/>
      <c r="T529" s="26"/>
      <c r="U529" s="26"/>
      <c r="V529" s="26"/>
      <c r="W529" s="26"/>
      <c r="X529" s="26"/>
      <c r="Y529" s="26"/>
      <c r="Z529" s="26"/>
      <c r="AA529" s="26"/>
      <c r="AB529" s="26"/>
      <c r="AC529" s="26"/>
      <c r="AD529" s="26"/>
      <c r="AE529" s="26"/>
      <c r="AF529" s="26"/>
      <c r="AG529" s="26"/>
      <c r="AH529" s="26"/>
      <c r="AI529" s="26"/>
      <c r="AJ529" s="26"/>
      <c r="AK529" s="26"/>
      <c r="AL529" s="26"/>
      <c r="AM529" s="26"/>
      <c r="AN529" s="26"/>
      <c r="AO529" s="26"/>
      <c r="AP529" s="26"/>
      <c r="AQ529" s="26"/>
      <c r="AR529" s="26"/>
      <c r="AS529" s="26"/>
      <c r="AT529" s="26"/>
      <c r="AU529" s="26"/>
      <c r="AV529" s="26"/>
      <c r="AW529" s="26"/>
      <c r="AX529" s="26"/>
      <c r="AY529" s="26"/>
    </row>
    <row r="530" spans="19:51">
      <c r="S530" s="26"/>
      <c r="T530" s="26"/>
      <c r="U530" s="26"/>
      <c r="V530" s="26"/>
      <c r="W530" s="26"/>
      <c r="X530" s="26"/>
      <c r="Y530" s="26"/>
      <c r="Z530" s="26"/>
      <c r="AA530" s="26"/>
      <c r="AB530" s="26"/>
      <c r="AC530" s="26"/>
      <c r="AD530" s="26"/>
      <c r="AE530" s="26"/>
      <c r="AF530" s="26"/>
      <c r="AG530" s="26"/>
      <c r="AH530" s="26"/>
      <c r="AI530" s="26"/>
      <c r="AJ530" s="26"/>
      <c r="AK530" s="26"/>
      <c r="AL530" s="26"/>
      <c r="AM530" s="26"/>
      <c r="AN530" s="26"/>
      <c r="AO530" s="26"/>
      <c r="AP530" s="26"/>
      <c r="AQ530" s="26"/>
      <c r="AR530" s="26"/>
      <c r="AS530" s="26"/>
      <c r="AT530" s="26"/>
      <c r="AU530" s="26"/>
      <c r="AV530" s="26"/>
      <c r="AW530" s="26"/>
      <c r="AX530" s="26"/>
      <c r="AY530" s="26"/>
    </row>
    <row r="531" spans="19:51">
      <c r="S531" s="26"/>
      <c r="T531" s="26"/>
      <c r="U531" s="26"/>
      <c r="V531" s="26"/>
      <c r="W531" s="26"/>
      <c r="X531" s="26"/>
      <c r="Y531" s="26"/>
      <c r="Z531" s="26"/>
      <c r="AA531" s="26"/>
      <c r="AB531" s="26"/>
      <c r="AC531" s="26"/>
      <c r="AD531" s="26"/>
      <c r="AE531" s="26"/>
      <c r="AF531" s="26"/>
      <c r="AG531" s="26"/>
      <c r="AH531" s="26"/>
      <c r="AI531" s="26"/>
      <c r="AJ531" s="26"/>
      <c r="AK531" s="26"/>
      <c r="AL531" s="26"/>
      <c r="AM531" s="26"/>
      <c r="AN531" s="26"/>
      <c r="AO531" s="26"/>
      <c r="AP531" s="26"/>
      <c r="AQ531" s="26"/>
      <c r="AR531" s="26"/>
      <c r="AS531" s="26"/>
      <c r="AT531" s="26"/>
      <c r="AU531" s="26"/>
      <c r="AV531" s="26"/>
      <c r="AW531" s="26"/>
      <c r="AX531" s="26"/>
      <c r="AY531" s="26"/>
    </row>
    <row r="532" spans="19:51">
      <c r="S532" s="26"/>
      <c r="T532" s="26"/>
      <c r="U532" s="26"/>
      <c r="V532" s="26"/>
      <c r="W532" s="26"/>
      <c r="X532" s="26"/>
      <c r="Y532" s="26"/>
      <c r="Z532" s="26"/>
      <c r="AA532" s="26"/>
      <c r="AB532" s="26"/>
      <c r="AC532" s="26"/>
      <c r="AD532" s="26"/>
      <c r="AE532" s="26"/>
      <c r="AF532" s="26"/>
      <c r="AG532" s="26"/>
      <c r="AH532" s="26"/>
      <c r="AI532" s="26"/>
      <c r="AJ532" s="26"/>
      <c r="AK532" s="26"/>
      <c r="AL532" s="26"/>
      <c r="AM532" s="26"/>
      <c r="AN532" s="26"/>
      <c r="AO532" s="26"/>
      <c r="AP532" s="26"/>
      <c r="AQ532" s="26"/>
      <c r="AR532" s="26"/>
      <c r="AS532" s="26"/>
      <c r="AT532" s="26"/>
      <c r="AU532" s="26"/>
      <c r="AV532" s="26"/>
      <c r="AW532" s="26"/>
      <c r="AX532" s="26"/>
      <c r="AY532" s="26"/>
    </row>
    <row r="533" spans="19:51">
      <c r="S533" s="26"/>
      <c r="T533" s="26"/>
      <c r="U533" s="26"/>
      <c r="V533" s="26"/>
      <c r="W533" s="26"/>
      <c r="X533" s="26"/>
      <c r="Y533" s="26"/>
      <c r="Z533" s="26"/>
      <c r="AA533" s="26"/>
      <c r="AB533" s="26"/>
      <c r="AC533" s="26"/>
      <c r="AD533" s="26"/>
      <c r="AE533" s="26"/>
      <c r="AF533" s="26"/>
      <c r="AG533" s="26"/>
      <c r="AH533" s="26"/>
      <c r="AI533" s="26"/>
      <c r="AJ533" s="26"/>
      <c r="AK533" s="26"/>
      <c r="AL533" s="26"/>
      <c r="AM533" s="26"/>
      <c r="AN533" s="26"/>
      <c r="AO533" s="26"/>
      <c r="AP533" s="26"/>
      <c r="AQ533" s="26"/>
      <c r="AR533" s="26"/>
      <c r="AS533" s="26"/>
      <c r="AT533" s="26"/>
      <c r="AU533" s="26"/>
      <c r="AV533" s="26"/>
      <c r="AW533" s="26"/>
      <c r="AX533" s="26"/>
      <c r="AY533" s="26"/>
    </row>
    <row r="534" spans="19:51">
      <c r="S534" s="26"/>
      <c r="T534" s="26"/>
      <c r="U534" s="26"/>
      <c r="V534" s="26"/>
      <c r="W534" s="26"/>
      <c r="X534" s="26"/>
      <c r="Y534" s="26"/>
      <c r="Z534" s="26"/>
      <c r="AA534" s="26"/>
      <c r="AB534" s="26"/>
      <c r="AC534" s="26"/>
      <c r="AD534" s="26"/>
      <c r="AE534" s="26"/>
      <c r="AF534" s="26"/>
      <c r="AG534" s="26"/>
      <c r="AH534" s="26"/>
      <c r="AI534" s="26"/>
      <c r="AJ534" s="26"/>
      <c r="AK534" s="26"/>
      <c r="AL534" s="26"/>
      <c r="AM534" s="26"/>
      <c r="AN534" s="26"/>
      <c r="AO534" s="26"/>
      <c r="AP534" s="26"/>
      <c r="AQ534" s="26"/>
      <c r="AR534" s="26"/>
      <c r="AS534" s="26"/>
      <c r="AT534" s="26"/>
      <c r="AU534" s="26"/>
      <c r="AV534" s="26"/>
      <c r="AW534" s="26"/>
      <c r="AX534" s="26"/>
      <c r="AY534" s="26"/>
    </row>
    <row r="535" spans="19:51">
      <c r="S535" s="26"/>
      <c r="T535" s="26"/>
      <c r="U535" s="26"/>
      <c r="V535" s="26"/>
      <c r="W535" s="26"/>
      <c r="X535" s="26"/>
      <c r="Y535" s="26"/>
      <c r="Z535" s="26"/>
      <c r="AA535" s="26"/>
      <c r="AB535" s="26"/>
      <c r="AC535" s="26"/>
      <c r="AD535" s="26"/>
      <c r="AE535" s="26"/>
      <c r="AF535" s="26"/>
      <c r="AG535" s="26"/>
      <c r="AH535" s="26"/>
      <c r="AI535" s="26"/>
      <c r="AJ535" s="26"/>
      <c r="AK535" s="26"/>
      <c r="AL535" s="26"/>
      <c r="AM535" s="26"/>
      <c r="AN535" s="26"/>
      <c r="AO535" s="26"/>
      <c r="AP535" s="26"/>
      <c r="AQ535" s="26"/>
      <c r="AR535" s="26"/>
      <c r="AS535" s="26"/>
      <c r="AT535" s="26"/>
      <c r="AU535" s="26"/>
      <c r="AV535" s="26"/>
      <c r="AW535" s="26"/>
      <c r="AX535" s="26"/>
      <c r="AY535" s="26"/>
    </row>
    <row r="536" spans="19:51">
      <c r="S536" s="26"/>
      <c r="T536" s="26"/>
      <c r="U536" s="26"/>
      <c r="V536" s="26"/>
      <c r="W536" s="26"/>
      <c r="X536" s="26"/>
      <c r="Y536" s="26"/>
      <c r="Z536" s="26"/>
      <c r="AA536" s="26"/>
      <c r="AB536" s="26"/>
      <c r="AC536" s="26"/>
      <c r="AD536" s="26"/>
      <c r="AE536" s="26"/>
      <c r="AF536" s="26"/>
      <c r="AG536" s="26"/>
      <c r="AH536" s="26"/>
      <c r="AI536" s="26"/>
      <c r="AJ536" s="26"/>
      <c r="AK536" s="26"/>
      <c r="AL536" s="26"/>
      <c r="AM536" s="26"/>
      <c r="AN536" s="26"/>
      <c r="AO536" s="26"/>
      <c r="AP536" s="26"/>
      <c r="AQ536" s="26"/>
      <c r="AR536" s="26"/>
      <c r="AS536" s="26"/>
      <c r="AT536" s="26"/>
      <c r="AU536" s="26"/>
      <c r="AV536" s="26"/>
      <c r="AW536" s="26"/>
      <c r="AX536" s="26"/>
      <c r="AY536" s="26"/>
    </row>
    <row r="537" spans="19:51">
      <c r="S537" s="26"/>
      <c r="T537" s="26"/>
      <c r="U537" s="26"/>
      <c r="V537" s="26"/>
      <c r="W537" s="26"/>
      <c r="X537" s="26"/>
      <c r="Y537" s="26"/>
      <c r="Z537" s="26"/>
      <c r="AA537" s="26"/>
      <c r="AB537" s="26"/>
      <c r="AC537" s="26"/>
      <c r="AD537" s="26"/>
      <c r="AE537" s="26"/>
      <c r="AF537" s="26"/>
      <c r="AG537" s="26"/>
      <c r="AH537" s="26"/>
      <c r="AI537" s="26"/>
      <c r="AJ537" s="26"/>
      <c r="AK537" s="26"/>
      <c r="AL537" s="26"/>
      <c r="AM537" s="26"/>
      <c r="AN537" s="26"/>
      <c r="AO537" s="26"/>
      <c r="AP537" s="26"/>
      <c r="AQ537" s="26"/>
      <c r="AR537" s="26"/>
      <c r="AS537" s="26"/>
      <c r="AT537" s="26"/>
      <c r="AU537" s="26"/>
      <c r="AV537" s="26"/>
      <c r="AW537" s="26"/>
      <c r="AX537" s="26"/>
      <c r="AY537" s="26"/>
    </row>
    <row r="538" spans="19:51">
      <c r="S538" s="26"/>
      <c r="T538" s="26"/>
      <c r="U538" s="26"/>
      <c r="V538" s="26"/>
      <c r="W538" s="26"/>
      <c r="X538" s="26"/>
      <c r="Y538" s="26"/>
      <c r="Z538" s="26"/>
      <c r="AA538" s="26"/>
      <c r="AB538" s="26"/>
      <c r="AC538" s="26"/>
      <c r="AD538" s="26"/>
      <c r="AE538" s="26"/>
      <c r="AF538" s="26"/>
      <c r="AG538" s="26"/>
      <c r="AH538" s="26"/>
      <c r="AI538" s="26"/>
      <c r="AJ538" s="26"/>
      <c r="AK538" s="26"/>
      <c r="AL538" s="26"/>
      <c r="AM538" s="26"/>
      <c r="AN538" s="26"/>
      <c r="AO538" s="26"/>
      <c r="AP538" s="26"/>
      <c r="AQ538" s="26"/>
      <c r="AR538" s="26"/>
      <c r="AS538" s="26"/>
      <c r="AT538" s="26"/>
      <c r="AU538" s="26"/>
      <c r="AV538" s="26"/>
      <c r="AW538" s="26"/>
      <c r="AX538" s="26"/>
      <c r="AY538" s="26"/>
    </row>
    <row r="539" spans="19:51">
      <c r="S539" s="26"/>
      <c r="T539" s="26"/>
      <c r="U539" s="26"/>
      <c r="V539" s="26"/>
      <c r="W539" s="26"/>
      <c r="X539" s="26"/>
      <c r="Y539" s="26"/>
      <c r="Z539" s="26"/>
      <c r="AA539" s="26"/>
      <c r="AB539" s="26"/>
      <c r="AC539" s="26"/>
      <c r="AD539" s="26"/>
      <c r="AE539" s="26"/>
      <c r="AF539" s="26"/>
      <c r="AG539" s="26"/>
      <c r="AH539" s="26"/>
      <c r="AI539" s="26"/>
      <c r="AJ539" s="26"/>
      <c r="AK539" s="26"/>
      <c r="AL539" s="26"/>
      <c r="AM539" s="26"/>
      <c r="AN539" s="26"/>
      <c r="AO539" s="26"/>
      <c r="AP539" s="26"/>
      <c r="AQ539" s="26"/>
      <c r="AR539" s="26"/>
      <c r="AS539" s="26"/>
      <c r="AT539" s="26"/>
      <c r="AU539" s="26"/>
      <c r="AV539" s="26"/>
      <c r="AW539" s="26"/>
      <c r="AX539" s="26"/>
      <c r="AY539" s="26"/>
    </row>
    <row r="540" spans="19:51">
      <c r="S540" s="26"/>
      <c r="T540" s="26"/>
      <c r="U540" s="26"/>
      <c r="V540" s="26"/>
      <c r="W540" s="26"/>
      <c r="X540" s="26"/>
      <c r="Y540" s="26"/>
      <c r="Z540" s="26"/>
      <c r="AA540" s="26"/>
      <c r="AB540" s="26"/>
      <c r="AC540" s="26"/>
      <c r="AD540" s="26"/>
      <c r="AE540" s="26"/>
      <c r="AF540" s="26"/>
      <c r="AG540" s="26"/>
      <c r="AH540" s="26"/>
      <c r="AI540" s="26"/>
      <c r="AJ540" s="26"/>
      <c r="AK540" s="26"/>
      <c r="AL540" s="26"/>
      <c r="AM540" s="26"/>
      <c r="AN540" s="26"/>
      <c r="AO540" s="26"/>
      <c r="AP540" s="26"/>
      <c r="AQ540" s="26"/>
      <c r="AR540" s="26"/>
      <c r="AS540" s="26"/>
      <c r="AT540" s="26"/>
      <c r="AU540" s="26"/>
      <c r="AV540" s="26"/>
      <c r="AW540" s="26"/>
      <c r="AX540" s="26"/>
      <c r="AY540" s="26"/>
    </row>
    <row r="541" spans="19:51">
      <c r="S541" s="26"/>
      <c r="T541" s="26"/>
      <c r="U541" s="26"/>
      <c r="V541" s="26"/>
      <c r="W541" s="26"/>
      <c r="X541" s="26"/>
      <c r="Y541" s="26"/>
      <c r="Z541" s="26"/>
      <c r="AA541" s="26"/>
      <c r="AB541" s="26"/>
      <c r="AC541" s="26"/>
      <c r="AD541" s="26"/>
      <c r="AE541" s="26"/>
      <c r="AF541" s="26"/>
      <c r="AG541" s="26"/>
      <c r="AH541" s="26"/>
      <c r="AI541" s="26"/>
      <c r="AJ541" s="26"/>
      <c r="AK541" s="26"/>
      <c r="AL541" s="26"/>
      <c r="AM541" s="26"/>
      <c r="AN541" s="26"/>
      <c r="AO541" s="26"/>
      <c r="AP541" s="26"/>
      <c r="AQ541" s="26"/>
      <c r="AR541" s="26"/>
      <c r="AS541" s="26"/>
      <c r="AT541" s="26"/>
      <c r="AU541" s="26"/>
      <c r="AV541" s="26"/>
      <c r="AW541" s="26"/>
      <c r="AX541" s="26"/>
      <c r="AY541" s="26"/>
    </row>
    <row r="542" spans="19:51">
      <c r="S542" s="26"/>
      <c r="T542" s="26"/>
      <c r="U542" s="26"/>
      <c r="V542" s="26"/>
      <c r="W542" s="26"/>
      <c r="X542" s="26"/>
      <c r="Y542" s="26"/>
      <c r="Z542" s="26"/>
      <c r="AA542" s="26"/>
      <c r="AB542" s="26"/>
      <c r="AC542" s="26"/>
      <c r="AD542" s="26"/>
      <c r="AE542" s="26"/>
      <c r="AF542" s="26"/>
      <c r="AG542" s="26"/>
      <c r="AH542" s="26"/>
      <c r="AI542" s="26"/>
      <c r="AJ542" s="26"/>
      <c r="AK542" s="26"/>
      <c r="AL542" s="26"/>
      <c r="AM542" s="26"/>
      <c r="AN542" s="26"/>
      <c r="AO542" s="26"/>
      <c r="AP542" s="26"/>
      <c r="AQ542" s="26"/>
      <c r="AR542" s="26"/>
      <c r="AS542" s="26"/>
      <c r="AT542" s="26"/>
      <c r="AU542" s="26"/>
      <c r="AV542" s="26"/>
      <c r="AW542" s="26"/>
      <c r="AX542" s="26"/>
      <c r="AY542" s="26"/>
    </row>
    <row r="543" spans="19:51">
      <c r="S543" s="26"/>
      <c r="T543" s="26"/>
      <c r="U543" s="26"/>
      <c r="V543" s="26"/>
      <c r="W543" s="26"/>
      <c r="X543" s="26"/>
      <c r="Y543" s="26"/>
      <c r="Z543" s="26"/>
      <c r="AA543" s="26"/>
      <c r="AB543" s="26"/>
      <c r="AC543" s="26"/>
      <c r="AD543" s="26"/>
      <c r="AE543" s="26"/>
      <c r="AF543" s="26"/>
      <c r="AG543" s="26"/>
      <c r="AH543" s="26"/>
      <c r="AI543" s="26"/>
      <c r="AJ543" s="26"/>
      <c r="AK543" s="26"/>
      <c r="AL543" s="26"/>
      <c r="AM543" s="26"/>
      <c r="AN543" s="26"/>
      <c r="AO543" s="26"/>
      <c r="AP543" s="26"/>
      <c r="AQ543" s="26"/>
      <c r="AR543" s="26"/>
      <c r="AS543" s="26"/>
      <c r="AT543" s="26"/>
      <c r="AU543" s="26"/>
      <c r="AV543" s="26"/>
      <c r="AW543" s="26"/>
      <c r="AX543" s="26"/>
      <c r="AY543" s="26"/>
    </row>
    <row r="544" spans="19:51">
      <c r="S544" s="26"/>
      <c r="T544" s="26"/>
      <c r="U544" s="26"/>
      <c r="V544" s="26"/>
      <c r="W544" s="26"/>
      <c r="X544" s="26"/>
      <c r="Y544" s="26"/>
      <c r="Z544" s="26"/>
      <c r="AA544" s="26"/>
      <c r="AB544" s="26"/>
      <c r="AC544" s="26"/>
      <c r="AD544" s="26"/>
      <c r="AE544" s="26"/>
      <c r="AF544" s="26"/>
      <c r="AG544" s="26"/>
      <c r="AH544" s="26"/>
      <c r="AI544" s="26"/>
      <c r="AJ544" s="26"/>
      <c r="AK544" s="26"/>
      <c r="AL544" s="26"/>
      <c r="AM544" s="26"/>
      <c r="AN544" s="26"/>
      <c r="AO544" s="26"/>
      <c r="AP544" s="26"/>
      <c r="AQ544" s="26"/>
      <c r="AR544" s="26"/>
      <c r="AS544" s="26"/>
      <c r="AT544" s="26"/>
      <c r="AU544" s="26"/>
      <c r="AV544" s="26"/>
      <c r="AW544" s="26"/>
      <c r="AX544" s="26"/>
      <c r="AY544" s="26"/>
    </row>
    <row r="545" spans="1:51">
      <c r="S545" s="26"/>
      <c r="T545" s="26"/>
      <c r="U545" s="26"/>
      <c r="V545" s="26"/>
      <c r="W545" s="26"/>
      <c r="X545" s="26"/>
      <c r="Y545" s="26"/>
      <c r="Z545" s="26"/>
      <c r="AA545" s="26"/>
      <c r="AB545" s="26"/>
      <c r="AC545" s="26"/>
      <c r="AD545" s="26"/>
      <c r="AE545" s="26"/>
      <c r="AF545" s="26"/>
      <c r="AG545" s="26"/>
      <c r="AH545" s="26"/>
      <c r="AI545" s="26"/>
      <c r="AJ545" s="26"/>
      <c r="AK545" s="26"/>
      <c r="AL545" s="26"/>
      <c r="AM545" s="26"/>
      <c r="AN545" s="26"/>
      <c r="AO545" s="26"/>
      <c r="AP545" s="26"/>
      <c r="AQ545" s="26"/>
      <c r="AR545" s="26"/>
      <c r="AS545" s="26"/>
      <c r="AT545" s="26"/>
      <c r="AU545" s="26"/>
      <c r="AV545" s="26"/>
      <c r="AW545" s="26"/>
      <c r="AX545" s="26"/>
      <c r="AY545" s="26"/>
    </row>
    <row r="546" spans="1:51">
      <c r="S546" s="26"/>
      <c r="T546" s="26"/>
      <c r="U546" s="26"/>
      <c r="V546" s="26"/>
      <c r="W546" s="26"/>
      <c r="X546" s="26"/>
      <c r="Y546" s="26"/>
      <c r="Z546" s="26"/>
      <c r="AA546" s="26"/>
      <c r="AB546" s="26"/>
      <c r="AC546" s="26"/>
      <c r="AD546" s="26"/>
      <c r="AE546" s="26"/>
      <c r="AF546" s="26"/>
      <c r="AG546" s="26"/>
      <c r="AH546" s="26"/>
      <c r="AI546" s="26"/>
      <c r="AJ546" s="26"/>
      <c r="AK546" s="26"/>
      <c r="AL546" s="26"/>
      <c r="AM546" s="26"/>
      <c r="AN546" s="26"/>
      <c r="AO546" s="26"/>
      <c r="AP546" s="26"/>
      <c r="AQ546" s="26"/>
      <c r="AR546" s="26"/>
      <c r="AS546" s="26"/>
      <c r="AT546" s="26"/>
      <c r="AU546" s="26"/>
      <c r="AV546" s="26"/>
      <c r="AW546" s="26"/>
      <c r="AX546" s="26"/>
      <c r="AY546" s="26"/>
    </row>
    <row r="547" spans="1:51">
      <c r="S547" s="26"/>
      <c r="T547" s="26"/>
      <c r="U547" s="26"/>
      <c r="V547" s="26"/>
      <c r="W547" s="26"/>
      <c r="X547" s="26"/>
      <c r="Y547" s="26"/>
      <c r="Z547" s="26"/>
      <c r="AA547" s="26"/>
      <c r="AB547" s="26"/>
      <c r="AC547" s="26"/>
      <c r="AD547" s="26"/>
      <c r="AE547" s="26"/>
      <c r="AF547" s="26"/>
      <c r="AG547" s="26"/>
      <c r="AH547" s="26"/>
      <c r="AI547" s="26"/>
      <c r="AJ547" s="26"/>
      <c r="AK547" s="26"/>
      <c r="AL547" s="26"/>
      <c r="AM547" s="26"/>
      <c r="AN547" s="26"/>
      <c r="AO547" s="26"/>
      <c r="AP547" s="26"/>
      <c r="AQ547" s="26"/>
      <c r="AR547" s="26"/>
      <c r="AS547" s="26"/>
      <c r="AT547" s="26"/>
      <c r="AU547" s="26"/>
      <c r="AV547" s="26"/>
      <c r="AW547" s="26"/>
      <c r="AX547" s="26"/>
      <c r="AY547" s="26"/>
    </row>
    <row r="548" spans="1:51">
      <c r="S548" s="26"/>
      <c r="T548" s="26"/>
      <c r="U548" s="26"/>
      <c r="V548" s="26"/>
      <c r="W548" s="26"/>
      <c r="X548" s="26"/>
      <c r="Y548" s="26"/>
      <c r="Z548" s="26"/>
      <c r="AA548" s="26"/>
      <c r="AB548" s="26"/>
      <c r="AC548" s="26"/>
      <c r="AD548" s="26"/>
      <c r="AE548" s="26"/>
      <c r="AF548" s="26"/>
      <c r="AG548" s="26"/>
      <c r="AH548" s="26"/>
      <c r="AI548" s="26"/>
      <c r="AJ548" s="26"/>
      <c r="AK548" s="26"/>
      <c r="AL548" s="26"/>
      <c r="AM548" s="26"/>
      <c r="AN548" s="26"/>
      <c r="AO548" s="26"/>
      <c r="AP548" s="26"/>
      <c r="AQ548" s="26"/>
      <c r="AR548" s="26"/>
      <c r="AS548" s="26"/>
      <c r="AT548" s="26"/>
      <c r="AU548" s="26"/>
      <c r="AV548" s="26"/>
      <c r="AW548" s="26"/>
      <c r="AX548" s="26"/>
      <c r="AY548" s="26"/>
    </row>
    <row r="549" spans="1:51">
      <c r="S549" s="26"/>
      <c r="T549" s="26"/>
      <c r="U549" s="26"/>
      <c r="V549" s="26"/>
      <c r="W549" s="26"/>
      <c r="X549" s="26"/>
      <c r="Y549" s="26"/>
      <c r="Z549" s="26"/>
      <c r="AA549" s="26"/>
      <c r="AB549" s="26"/>
      <c r="AC549" s="26"/>
      <c r="AD549" s="26"/>
      <c r="AE549" s="26"/>
      <c r="AF549" s="26"/>
      <c r="AG549" s="26"/>
      <c r="AH549" s="26"/>
      <c r="AI549" s="26"/>
      <c r="AJ549" s="26"/>
      <c r="AK549" s="26"/>
      <c r="AL549" s="26"/>
      <c r="AM549" s="26"/>
      <c r="AN549" s="26"/>
      <c r="AO549" s="26"/>
      <c r="AP549" s="26"/>
      <c r="AQ549" s="26"/>
      <c r="AR549" s="26"/>
      <c r="AS549" s="26"/>
      <c r="AT549" s="26"/>
      <c r="AU549" s="26"/>
      <c r="AV549" s="26"/>
      <c r="AW549" s="26"/>
      <c r="AX549" s="26"/>
      <c r="AY549" s="26"/>
    </row>
    <row r="550" spans="1:51">
      <c r="S550" s="26"/>
      <c r="T550" s="26"/>
      <c r="U550" s="26"/>
      <c r="V550" s="26"/>
      <c r="W550" s="26"/>
      <c r="X550" s="26"/>
      <c r="Y550" s="26"/>
      <c r="Z550" s="26"/>
      <c r="AA550" s="26"/>
      <c r="AB550" s="26"/>
      <c r="AC550" s="26"/>
      <c r="AD550" s="26"/>
      <c r="AE550" s="26"/>
      <c r="AF550" s="26"/>
      <c r="AG550" s="26"/>
      <c r="AH550" s="26"/>
      <c r="AI550" s="26"/>
      <c r="AJ550" s="26"/>
      <c r="AK550" s="26"/>
      <c r="AL550" s="26"/>
      <c r="AM550" s="26"/>
      <c r="AN550" s="26"/>
      <c r="AO550" s="26"/>
      <c r="AP550" s="26"/>
      <c r="AQ550" s="26"/>
      <c r="AR550" s="26"/>
      <c r="AS550" s="26"/>
      <c r="AT550" s="26"/>
      <c r="AU550" s="26"/>
      <c r="AV550" s="26"/>
      <c r="AW550" s="26"/>
      <c r="AX550" s="26"/>
      <c r="AY550" s="26"/>
    </row>
    <row r="551" spans="1:51">
      <c r="S551" s="26"/>
      <c r="T551" s="26"/>
      <c r="U551" s="26"/>
      <c r="V551" s="26"/>
      <c r="W551" s="26"/>
      <c r="X551" s="26"/>
      <c r="Y551" s="26"/>
      <c r="Z551" s="26"/>
      <c r="AA551" s="26"/>
      <c r="AB551" s="26"/>
      <c r="AC551" s="26"/>
      <c r="AD551" s="26"/>
      <c r="AE551" s="26"/>
      <c r="AF551" s="26"/>
      <c r="AG551" s="26"/>
      <c r="AH551" s="26"/>
      <c r="AI551" s="26"/>
      <c r="AJ551" s="26"/>
      <c r="AK551" s="26"/>
      <c r="AL551" s="26"/>
      <c r="AM551" s="26"/>
      <c r="AN551" s="26"/>
      <c r="AO551" s="26"/>
      <c r="AP551" s="26"/>
      <c r="AQ551" s="26"/>
      <c r="AR551" s="26"/>
      <c r="AS551" s="26"/>
      <c r="AT551" s="26"/>
      <c r="AU551" s="26"/>
      <c r="AV551" s="26"/>
      <c r="AW551" s="26"/>
      <c r="AX551" s="26"/>
      <c r="AY551" s="26"/>
    </row>
    <row r="552" spans="1:51" ht="33.75" customHeight="1">
      <c r="A552" s="26"/>
      <c r="B552" s="66" t="s">
        <v>163</v>
      </c>
      <c r="C552" s="67"/>
      <c r="D552" s="67"/>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c r="AO552" s="26"/>
      <c r="AP552" s="26"/>
      <c r="AQ552" s="26"/>
      <c r="AR552" s="26"/>
      <c r="AS552" s="26"/>
      <c r="AT552" s="26"/>
      <c r="AU552" s="26"/>
      <c r="AV552" s="26"/>
      <c r="AW552" s="26"/>
      <c r="AX552" s="26"/>
      <c r="AY552" s="26"/>
    </row>
    <row r="553" spans="1:51">
      <c r="B553" s="31"/>
      <c r="C553" s="50"/>
      <c r="D553" s="50"/>
      <c r="S553" s="26"/>
      <c r="T553" s="26"/>
      <c r="U553" s="26"/>
      <c r="V553" s="26"/>
      <c r="W553" s="26"/>
      <c r="X553" s="26"/>
      <c r="Y553" s="26"/>
      <c r="Z553" s="26"/>
      <c r="AA553" s="26"/>
      <c r="AB553" s="26"/>
      <c r="AC553" s="26"/>
      <c r="AD553" s="26"/>
      <c r="AE553" s="26"/>
      <c r="AF553" s="26"/>
      <c r="AG553" s="26"/>
      <c r="AH553" s="26"/>
      <c r="AI553" s="26"/>
      <c r="AJ553" s="26"/>
      <c r="AK553" s="26"/>
      <c r="AL553" s="26"/>
      <c r="AM553" s="26"/>
      <c r="AN553" s="26"/>
      <c r="AO553" s="26"/>
      <c r="AP553" s="26"/>
      <c r="AQ553" s="26"/>
      <c r="AR553" s="26"/>
      <c r="AS553" s="26"/>
      <c r="AT553" s="26"/>
      <c r="AU553" s="26"/>
      <c r="AV553" s="26"/>
      <c r="AW553" s="26"/>
      <c r="AX553" s="26"/>
      <c r="AY553" s="26"/>
    </row>
    <row r="554" spans="1:51">
      <c r="B554" s="31"/>
      <c r="C554" s="50"/>
      <c r="D554" s="50"/>
      <c r="S554" s="26"/>
      <c r="T554" s="26"/>
      <c r="U554" s="26"/>
      <c r="V554" s="26"/>
      <c r="W554" s="26"/>
      <c r="X554" s="26"/>
      <c r="Y554" s="26"/>
      <c r="Z554" s="26"/>
      <c r="AA554" s="26"/>
      <c r="AB554" s="26"/>
      <c r="AC554" s="26"/>
      <c r="AD554" s="26"/>
      <c r="AE554" s="26"/>
      <c r="AF554" s="26"/>
      <c r="AG554" s="26"/>
      <c r="AH554" s="26"/>
      <c r="AI554" s="26"/>
      <c r="AJ554" s="26"/>
      <c r="AK554" s="26"/>
      <c r="AL554" s="26"/>
      <c r="AM554" s="26"/>
      <c r="AN554" s="26"/>
      <c r="AO554" s="26"/>
      <c r="AP554" s="26"/>
      <c r="AQ554" s="26"/>
      <c r="AR554" s="26"/>
      <c r="AS554" s="26"/>
      <c r="AT554" s="26"/>
      <c r="AU554" s="26"/>
      <c r="AV554" s="26"/>
      <c r="AW554" s="26"/>
      <c r="AX554" s="26"/>
      <c r="AY554" s="26"/>
    </row>
    <row r="555" spans="1:51">
      <c r="B555" s="31"/>
      <c r="C555" s="50"/>
      <c r="D555" s="50"/>
      <c r="S555" s="26"/>
      <c r="T555" s="26"/>
      <c r="U555" s="26"/>
      <c r="V555" s="26"/>
      <c r="W555" s="26"/>
      <c r="X555" s="26"/>
      <c r="Y555" s="26"/>
      <c r="Z555" s="26"/>
      <c r="AA555" s="26"/>
      <c r="AB555" s="26"/>
      <c r="AC555" s="26"/>
      <c r="AD555" s="26"/>
      <c r="AE555" s="26"/>
      <c r="AF555" s="26"/>
      <c r="AG555" s="26"/>
      <c r="AH555" s="26"/>
      <c r="AI555" s="26"/>
      <c r="AJ555" s="26"/>
      <c r="AK555" s="26"/>
      <c r="AL555" s="26"/>
      <c r="AM555" s="26"/>
      <c r="AN555" s="26"/>
      <c r="AO555" s="26"/>
      <c r="AP555" s="26"/>
      <c r="AQ555" s="26"/>
      <c r="AR555" s="26"/>
      <c r="AS555" s="26"/>
      <c r="AT555" s="26"/>
      <c r="AU555" s="26"/>
      <c r="AV555" s="26"/>
      <c r="AW555" s="26"/>
      <c r="AX555" s="26"/>
      <c r="AY555" s="26"/>
    </row>
    <row r="556" spans="1:51">
      <c r="B556" s="31"/>
      <c r="C556" s="50"/>
      <c r="D556" s="50"/>
      <c r="S556" s="26"/>
      <c r="T556" s="26"/>
      <c r="U556" s="26"/>
      <c r="V556" s="26"/>
      <c r="W556" s="26"/>
      <c r="X556" s="26"/>
      <c r="Y556" s="26"/>
      <c r="Z556" s="26"/>
      <c r="AA556" s="26"/>
      <c r="AB556" s="26"/>
      <c r="AC556" s="26"/>
      <c r="AD556" s="26"/>
      <c r="AE556" s="26"/>
      <c r="AF556" s="26"/>
      <c r="AG556" s="26"/>
      <c r="AH556" s="26"/>
      <c r="AI556" s="26"/>
      <c r="AJ556" s="26"/>
      <c r="AK556" s="26"/>
      <c r="AL556" s="26"/>
      <c r="AM556" s="26"/>
      <c r="AN556" s="26"/>
      <c r="AO556" s="26"/>
      <c r="AP556" s="26"/>
      <c r="AQ556" s="26"/>
      <c r="AR556" s="26"/>
      <c r="AS556" s="26"/>
      <c r="AT556" s="26"/>
      <c r="AU556" s="26"/>
      <c r="AV556" s="26"/>
      <c r="AW556" s="26"/>
      <c r="AX556" s="26"/>
      <c r="AY556" s="26"/>
    </row>
    <row r="557" spans="1:51">
      <c r="B557" s="31"/>
      <c r="C557" s="50"/>
      <c r="D557" s="50"/>
      <c r="S557" s="26"/>
      <c r="T557" s="26"/>
      <c r="U557" s="26"/>
      <c r="V557" s="26"/>
      <c r="W557" s="26"/>
      <c r="X557" s="26"/>
      <c r="Y557" s="26"/>
      <c r="Z557" s="26"/>
      <c r="AA557" s="26"/>
      <c r="AB557" s="26"/>
      <c r="AC557" s="26"/>
      <c r="AD557" s="26"/>
      <c r="AE557" s="26"/>
      <c r="AF557" s="26"/>
      <c r="AG557" s="26"/>
      <c r="AH557" s="26"/>
      <c r="AI557" s="26"/>
      <c r="AJ557" s="26"/>
      <c r="AK557" s="26"/>
      <c r="AL557" s="26"/>
      <c r="AM557" s="26"/>
      <c r="AN557" s="26"/>
      <c r="AO557" s="26"/>
      <c r="AP557" s="26"/>
      <c r="AQ557" s="26"/>
      <c r="AR557" s="26"/>
      <c r="AS557" s="26"/>
      <c r="AT557" s="26"/>
      <c r="AU557" s="26"/>
      <c r="AV557" s="26"/>
      <c r="AW557" s="26"/>
      <c r="AX557" s="26"/>
      <c r="AY557" s="26"/>
    </row>
    <row r="558" spans="1:51">
      <c r="B558" s="31"/>
      <c r="C558" s="50"/>
      <c r="D558" s="50"/>
      <c r="S558" s="26"/>
      <c r="T558" s="26"/>
      <c r="U558" s="26"/>
      <c r="V558" s="26"/>
      <c r="W558" s="26"/>
      <c r="X558" s="26"/>
      <c r="Y558" s="26"/>
      <c r="Z558" s="26"/>
      <c r="AA558" s="26"/>
      <c r="AB558" s="26"/>
      <c r="AC558" s="26"/>
      <c r="AD558" s="26"/>
      <c r="AE558" s="26"/>
      <c r="AF558" s="26"/>
      <c r="AG558" s="26"/>
      <c r="AH558" s="26"/>
      <c r="AI558" s="26"/>
      <c r="AJ558" s="26"/>
      <c r="AK558" s="26"/>
      <c r="AL558" s="26"/>
      <c r="AM558" s="26"/>
      <c r="AN558" s="26"/>
      <c r="AO558" s="26"/>
      <c r="AP558" s="26"/>
      <c r="AQ558" s="26"/>
      <c r="AR558" s="26"/>
      <c r="AS558" s="26"/>
      <c r="AT558" s="26"/>
      <c r="AU558" s="26"/>
      <c r="AV558" s="26"/>
      <c r="AW558" s="26"/>
      <c r="AX558" s="26"/>
      <c r="AY558" s="26"/>
    </row>
    <row r="559" spans="1:51">
      <c r="B559" s="31"/>
      <c r="C559" s="50"/>
      <c r="D559" s="50"/>
      <c r="S559" s="26"/>
      <c r="T559" s="26"/>
      <c r="U559" s="26"/>
      <c r="V559" s="26"/>
      <c r="W559" s="26"/>
      <c r="X559" s="26"/>
      <c r="Y559" s="26"/>
      <c r="Z559" s="26"/>
      <c r="AA559" s="26"/>
      <c r="AB559" s="26"/>
      <c r="AC559" s="26"/>
      <c r="AD559" s="26"/>
      <c r="AE559" s="26"/>
      <c r="AF559" s="26"/>
      <c r="AG559" s="26"/>
      <c r="AH559" s="26"/>
      <c r="AI559" s="26"/>
      <c r="AJ559" s="26"/>
      <c r="AK559" s="26"/>
      <c r="AL559" s="26"/>
      <c r="AM559" s="26"/>
      <c r="AN559" s="26"/>
      <c r="AO559" s="26"/>
      <c r="AP559" s="26"/>
      <c r="AQ559" s="26"/>
      <c r="AR559" s="26"/>
      <c r="AS559" s="26"/>
      <c r="AT559" s="26"/>
      <c r="AU559" s="26"/>
      <c r="AV559" s="26"/>
      <c r="AW559" s="26"/>
      <c r="AX559" s="26"/>
      <c r="AY559" s="26"/>
    </row>
    <row r="560" spans="1:51">
      <c r="B560" s="31"/>
      <c r="C560" s="50"/>
      <c r="D560" s="50"/>
      <c r="S560" s="26"/>
      <c r="T560" s="26"/>
      <c r="U560" s="26"/>
      <c r="V560" s="26"/>
      <c r="W560" s="26"/>
      <c r="X560" s="26"/>
      <c r="Y560" s="26"/>
      <c r="Z560" s="26"/>
      <c r="AA560" s="26"/>
      <c r="AB560" s="26"/>
      <c r="AC560" s="26"/>
      <c r="AD560" s="26"/>
      <c r="AE560" s="26"/>
      <c r="AF560" s="26"/>
      <c r="AG560" s="26"/>
      <c r="AH560" s="26"/>
      <c r="AI560" s="26"/>
      <c r="AJ560" s="26"/>
      <c r="AK560" s="26"/>
      <c r="AL560" s="26"/>
      <c r="AM560" s="26"/>
      <c r="AN560" s="26"/>
      <c r="AO560" s="26"/>
      <c r="AP560" s="26"/>
      <c r="AQ560" s="26"/>
      <c r="AR560" s="26"/>
      <c r="AS560" s="26"/>
      <c r="AT560" s="26"/>
      <c r="AU560" s="26"/>
      <c r="AV560" s="26"/>
      <c r="AW560" s="26"/>
      <c r="AX560" s="26"/>
      <c r="AY560" s="26"/>
    </row>
    <row r="561" spans="1:51">
      <c r="B561" s="31"/>
      <c r="C561" s="50"/>
      <c r="D561" s="50"/>
      <c r="S561" s="26"/>
      <c r="T561" s="26"/>
      <c r="U561" s="26"/>
      <c r="V561" s="26"/>
      <c r="W561" s="26"/>
      <c r="X561" s="26"/>
      <c r="Y561" s="26"/>
      <c r="Z561" s="26"/>
      <c r="AA561" s="26"/>
      <c r="AB561" s="26"/>
      <c r="AC561" s="26"/>
      <c r="AD561" s="26"/>
      <c r="AE561" s="26"/>
      <c r="AF561" s="26"/>
      <c r="AG561" s="26"/>
      <c r="AH561" s="26"/>
      <c r="AI561" s="26"/>
      <c r="AJ561" s="26"/>
      <c r="AK561" s="26"/>
      <c r="AL561" s="26"/>
      <c r="AM561" s="26"/>
      <c r="AN561" s="26"/>
      <c r="AO561" s="26"/>
      <c r="AP561" s="26"/>
      <c r="AQ561" s="26"/>
      <c r="AR561" s="26"/>
      <c r="AS561" s="26"/>
      <c r="AT561" s="26"/>
      <c r="AU561" s="26"/>
      <c r="AV561" s="26"/>
      <c r="AW561" s="26"/>
      <c r="AX561" s="26"/>
      <c r="AY561" s="26"/>
    </row>
    <row r="562" spans="1:51" ht="15.6">
      <c r="B562" s="36" t="s">
        <v>164</v>
      </c>
      <c r="C562" s="37" t="s">
        <v>165</v>
      </c>
      <c r="D562" s="37" t="s">
        <v>165</v>
      </c>
      <c r="E562" s="37" t="s">
        <v>165</v>
      </c>
      <c r="F562" s="278"/>
      <c r="G562" s="278"/>
      <c r="H562" s="278"/>
      <c r="I562" s="16"/>
      <c r="J562" s="16"/>
      <c r="K562" s="16"/>
      <c r="S562" s="26"/>
      <c r="T562" s="26"/>
      <c r="U562" s="38"/>
      <c r="V562" s="38"/>
      <c r="W562" s="38"/>
      <c r="X562" s="38"/>
      <c r="Y562" s="38"/>
      <c r="Z562" s="38"/>
      <c r="AA562" s="38"/>
      <c r="AB562" s="38"/>
      <c r="AC562" s="38"/>
      <c r="AD562" s="38"/>
      <c r="AE562" s="26"/>
      <c r="AF562" s="26"/>
      <c r="AG562" s="26"/>
      <c r="AH562" s="26"/>
      <c r="AI562" s="26"/>
      <c r="AJ562" s="26"/>
      <c r="AK562" s="26"/>
      <c r="AL562" s="26"/>
      <c r="AM562" s="26"/>
      <c r="AN562" s="26"/>
      <c r="AO562" s="26"/>
      <c r="AP562" s="26"/>
      <c r="AQ562" s="26"/>
      <c r="AR562" s="26"/>
      <c r="AS562" s="26"/>
      <c r="AT562" s="26"/>
      <c r="AU562" s="26"/>
      <c r="AV562" s="26"/>
      <c r="AW562" s="26"/>
      <c r="AX562" s="26"/>
      <c r="AY562" s="26"/>
    </row>
    <row r="563" spans="1:51">
      <c r="B563" s="14"/>
      <c r="C563" s="30">
        <v>2018</v>
      </c>
      <c r="D563" s="30" t="s">
        <v>223</v>
      </c>
      <c r="E563" s="30" t="s">
        <v>224</v>
      </c>
      <c r="F563" s="279"/>
      <c r="G563" s="279"/>
      <c r="H563" s="279"/>
      <c r="S563" s="26"/>
      <c r="T563" s="26"/>
      <c r="U563" s="26"/>
      <c r="V563" s="26"/>
      <c r="W563" s="26"/>
      <c r="X563" s="26"/>
      <c r="Y563" s="26"/>
      <c r="Z563" s="26"/>
      <c r="AA563" s="26"/>
      <c r="AB563" s="26"/>
      <c r="AC563" s="26"/>
      <c r="AD563" s="26"/>
      <c r="AE563" s="26"/>
      <c r="AF563" s="26"/>
      <c r="AG563" s="26"/>
      <c r="AH563" s="26"/>
      <c r="AI563" s="26"/>
      <c r="AJ563" s="26"/>
      <c r="AK563" s="26"/>
      <c r="AL563" s="26"/>
      <c r="AM563" s="26"/>
      <c r="AN563" s="26"/>
      <c r="AO563" s="26"/>
      <c r="AP563" s="26"/>
      <c r="AQ563" s="26"/>
      <c r="AR563" s="26"/>
      <c r="AS563" s="26"/>
      <c r="AT563" s="26"/>
      <c r="AU563" s="26"/>
      <c r="AV563" s="26"/>
      <c r="AW563" s="26"/>
      <c r="AX563" s="26"/>
      <c r="AY563" s="26"/>
    </row>
    <row r="564" spans="1:51">
      <c r="B564" s="32" t="s">
        <v>34</v>
      </c>
      <c r="C564" s="12">
        <f>'2018'!$A$82</f>
        <v>-16.253355625390768</v>
      </c>
      <c r="D564" s="12">
        <f>'BAU2030'!$A$82</f>
        <v>0</v>
      </c>
      <c r="E564" s="12">
        <f>'BAU2050'!$A$82</f>
        <v>0</v>
      </c>
      <c r="F564" s="281"/>
      <c r="G564" s="281"/>
      <c r="H564" s="281"/>
      <c r="S564" s="26"/>
      <c r="T564" s="26"/>
      <c r="U564" s="26"/>
      <c r="V564" s="26"/>
      <c r="W564" s="26"/>
      <c r="X564" s="26"/>
      <c r="Y564" s="26"/>
      <c r="Z564" s="26"/>
      <c r="AA564" s="26"/>
      <c r="AB564" s="26"/>
      <c r="AC564" s="26"/>
      <c r="AD564" s="26"/>
      <c r="AE564" s="26"/>
      <c r="AF564" s="26"/>
      <c r="AG564" s="26"/>
      <c r="AH564" s="26"/>
      <c r="AI564" s="26"/>
      <c r="AJ564" s="26"/>
      <c r="AK564" s="26"/>
      <c r="AL564" s="26"/>
      <c r="AM564" s="26"/>
      <c r="AN564" s="26"/>
      <c r="AO564" s="26"/>
      <c r="AP564" s="26"/>
      <c r="AQ564" s="26"/>
      <c r="AR564" s="26"/>
      <c r="AS564" s="26"/>
      <c r="AT564" s="26"/>
      <c r="AU564" s="26"/>
      <c r="AV564" s="26"/>
      <c r="AW564" s="26"/>
      <c r="AX564" s="26"/>
      <c r="AY564" s="26"/>
    </row>
    <row r="565" spans="1:51" ht="12.75" customHeight="1">
      <c r="A565" s="456" t="s">
        <v>166</v>
      </c>
      <c r="B565" s="32" t="s">
        <v>132</v>
      </c>
      <c r="C565" s="12">
        <f>'2018'!$C$82</f>
        <v>0.88303500000000013</v>
      </c>
      <c r="D565" s="12">
        <f>'BAU2030'!$C$82</f>
        <v>0.84771360000000018</v>
      </c>
      <c r="E565" s="12">
        <f>'BAU2050'!$C$82</f>
        <v>0.79473150000000015</v>
      </c>
      <c r="F565" s="281"/>
      <c r="G565" s="281"/>
      <c r="H565" s="281"/>
      <c r="S565" s="26"/>
      <c r="T565" s="26"/>
      <c r="U565" s="26"/>
      <c r="V565" s="26"/>
      <c r="W565" s="26"/>
      <c r="X565" s="26"/>
      <c r="Y565" s="26"/>
      <c r="Z565" s="26"/>
      <c r="AA565" s="26"/>
      <c r="AB565" s="26"/>
      <c r="AC565" s="26"/>
      <c r="AD565" s="26"/>
      <c r="AE565" s="26"/>
      <c r="AF565" s="26"/>
      <c r="AG565" s="26"/>
      <c r="AH565" s="26"/>
      <c r="AI565" s="26"/>
      <c r="AJ565" s="26"/>
      <c r="AK565" s="26"/>
      <c r="AL565" s="26"/>
      <c r="AM565" s="26"/>
      <c r="AN565" s="26"/>
      <c r="AO565" s="26"/>
      <c r="AP565" s="26"/>
      <c r="AQ565" s="26"/>
      <c r="AR565" s="26"/>
      <c r="AS565" s="26"/>
      <c r="AT565" s="26"/>
      <c r="AU565" s="26"/>
      <c r="AV565" s="26"/>
      <c r="AW565" s="26"/>
      <c r="AX565" s="26"/>
      <c r="AY565" s="26"/>
    </row>
    <row r="566" spans="1:51">
      <c r="A566" s="457"/>
      <c r="B566" s="32" t="s">
        <v>133</v>
      </c>
      <c r="C566" s="12">
        <f>'2018'!$I$82+'2018'!$B$82</f>
        <v>73.307799999999986</v>
      </c>
      <c r="D566" s="12">
        <f>'BAU2030'!$I$82+'BAU2030'!$B$82</f>
        <v>62.306362239999999</v>
      </c>
      <c r="E566" s="12">
        <f>'BAU2050'!$I$82+'BAU2050'!$B$82</f>
        <v>62.100676599999986</v>
      </c>
      <c r="F566" s="281"/>
      <c r="G566" s="281"/>
      <c r="H566" s="281"/>
      <c r="S566" s="26"/>
      <c r="T566" s="26"/>
      <c r="U566" s="26"/>
      <c r="V566" s="26"/>
      <c r="W566" s="26"/>
      <c r="X566" s="26"/>
      <c r="Y566" s="26"/>
      <c r="Z566" s="26"/>
      <c r="AA566" s="26"/>
      <c r="AB566" s="26"/>
      <c r="AC566" s="26"/>
      <c r="AD566" s="26"/>
      <c r="AE566" s="26"/>
      <c r="AF566" s="26"/>
      <c r="AG566" s="26"/>
      <c r="AH566" s="26"/>
      <c r="AI566" s="26"/>
      <c r="AJ566" s="26"/>
      <c r="AK566" s="26"/>
      <c r="AL566" s="26"/>
      <c r="AM566" s="26"/>
      <c r="AN566" s="26"/>
      <c r="AO566" s="26"/>
      <c r="AP566" s="26"/>
      <c r="AQ566" s="26"/>
      <c r="AR566" s="26"/>
      <c r="AS566" s="26"/>
      <c r="AT566" s="26"/>
      <c r="AU566" s="26"/>
      <c r="AV566" s="26"/>
      <c r="AW566" s="26"/>
      <c r="AX566" s="26"/>
      <c r="AY566" s="26"/>
    </row>
    <row r="567" spans="1:51">
      <c r="A567" s="457"/>
      <c r="B567" s="32" t="s">
        <v>134</v>
      </c>
      <c r="C567" s="12">
        <f>'2018'!$D$82</f>
        <v>7.8840000000000004E-3</v>
      </c>
      <c r="D567" s="12">
        <f>'BAU2030'!$D$82</f>
        <v>7.4898000000000005E-3</v>
      </c>
      <c r="E567" s="12">
        <f>'BAU2050'!$D$82</f>
        <v>7.4898000000000005E-3</v>
      </c>
      <c r="F567" s="281"/>
      <c r="G567" s="281"/>
      <c r="H567" s="281"/>
      <c r="S567" s="26"/>
      <c r="T567" s="26"/>
      <c r="U567" s="26"/>
      <c r="V567" s="26"/>
      <c r="W567" s="26"/>
      <c r="X567" s="26"/>
      <c r="Y567" s="26"/>
      <c r="Z567" s="26"/>
      <c r="AA567" s="26"/>
      <c r="AB567" s="26"/>
      <c r="AC567" s="26"/>
      <c r="AD567" s="26"/>
      <c r="AE567" s="26"/>
      <c r="AF567" s="26"/>
      <c r="AG567" s="26"/>
      <c r="AH567" s="26"/>
      <c r="AI567" s="26"/>
      <c r="AJ567" s="26"/>
      <c r="AK567" s="26"/>
      <c r="AL567" s="26"/>
      <c r="AM567" s="26"/>
      <c r="AN567" s="26"/>
      <c r="AO567" s="26"/>
      <c r="AP567" s="26"/>
      <c r="AQ567" s="26"/>
      <c r="AR567" s="26"/>
      <c r="AS567" s="26"/>
      <c r="AT567" s="26"/>
      <c r="AU567" s="26"/>
      <c r="AV567" s="26"/>
      <c r="AW567" s="26"/>
      <c r="AX567" s="26"/>
      <c r="AY567" s="26"/>
    </row>
    <row r="568" spans="1:51">
      <c r="A568" s="457"/>
      <c r="B568" s="32" t="s">
        <v>135</v>
      </c>
      <c r="C568" s="12">
        <f>'2018'!$E$82+'2018'!$F$82</f>
        <v>151.1066902</v>
      </c>
      <c r="D568" s="12">
        <f>'BAU2030'!$E$82+'BAU2030'!$F$82</f>
        <v>125.40337827799999</v>
      </c>
      <c r="E568" s="12">
        <f>'BAU2050'!$E$82+'BAU2050'!$F$82</f>
        <v>78.429304040000005</v>
      </c>
      <c r="F568" s="281"/>
      <c r="G568" s="281"/>
      <c r="H568" s="281"/>
      <c r="S568" s="26"/>
      <c r="T568" s="26"/>
      <c r="U568" s="26"/>
      <c r="V568" s="26"/>
      <c r="W568" s="26"/>
      <c r="X568" s="26"/>
      <c r="Y568" s="26"/>
      <c r="Z568" s="26"/>
      <c r="AA568" s="26"/>
      <c r="AB568" s="26"/>
      <c r="AC568" s="26"/>
      <c r="AD568" s="26"/>
      <c r="AE568" s="26"/>
      <c r="AF568" s="26"/>
      <c r="AG568" s="26"/>
      <c r="AH568" s="26"/>
      <c r="AI568" s="26"/>
      <c r="AJ568" s="26"/>
      <c r="AK568" s="26"/>
      <c r="AL568" s="26"/>
      <c r="AM568" s="26"/>
      <c r="AN568" s="26"/>
      <c r="AO568" s="26"/>
      <c r="AP568" s="26"/>
      <c r="AQ568" s="26"/>
      <c r="AR568" s="26"/>
      <c r="AS568" s="26"/>
      <c r="AT568" s="26"/>
      <c r="AU568" s="26"/>
      <c r="AV568" s="26"/>
      <c r="AW568" s="26"/>
      <c r="AX568" s="26"/>
      <c r="AY568" s="26"/>
    </row>
    <row r="569" spans="1:51">
      <c r="A569" s="457"/>
      <c r="B569" s="32" t="s">
        <v>136</v>
      </c>
      <c r="C569" s="12">
        <f>'2018'!$G$82</f>
        <v>54.734400000000001</v>
      </c>
      <c r="D569" s="12">
        <f>'BAU2030'!$G$82</f>
        <v>58.565808000000004</v>
      </c>
      <c r="E569" s="12">
        <f>'BAU2050'!$G$82</f>
        <v>65.681280000000001</v>
      </c>
      <c r="F569" s="281"/>
      <c r="G569" s="281"/>
      <c r="H569" s="281"/>
      <c r="S569" s="26"/>
      <c r="T569" s="26"/>
      <c r="U569" s="26"/>
      <c r="V569" s="26"/>
      <c r="W569" s="26"/>
      <c r="X569" s="26"/>
      <c r="Y569" s="26"/>
      <c r="Z569" s="26"/>
      <c r="AA569" s="26"/>
      <c r="AB569" s="26"/>
      <c r="AC569" s="26"/>
      <c r="AD569" s="26"/>
      <c r="AE569" s="26"/>
      <c r="AF569" s="26"/>
      <c r="AG569" s="26"/>
      <c r="AH569" s="26"/>
      <c r="AI569" s="26"/>
      <c r="AJ569" s="26"/>
      <c r="AK569" s="26"/>
      <c r="AL569" s="26"/>
      <c r="AM569" s="26"/>
      <c r="AN569" s="26"/>
      <c r="AO569" s="26"/>
      <c r="AP569" s="26"/>
      <c r="AQ569" s="26"/>
      <c r="AR569" s="26"/>
      <c r="AS569" s="26"/>
      <c r="AT569" s="26"/>
      <c r="AU569" s="26"/>
      <c r="AV569" s="26"/>
      <c r="AW569" s="26"/>
      <c r="AX569" s="26"/>
      <c r="AY569" s="26"/>
    </row>
    <row r="570" spans="1:51">
      <c r="A570" s="457"/>
      <c r="B570" s="32" t="s">
        <v>137</v>
      </c>
      <c r="C570" s="12">
        <f>'2018'!$H$82</f>
        <v>72.7548149</v>
      </c>
      <c r="D570" s="12">
        <f>'BAU2030'!$H$82</f>
        <v>57.492655771000003</v>
      </c>
      <c r="E570" s="12">
        <f>'BAU2050'!$H$82</f>
        <v>14.609362980000002</v>
      </c>
      <c r="F570" s="281"/>
      <c r="G570" s="281"/>
      <c r="H570" s="281"/>
      <c r="S570" s="26"/>
      <c r="T570" s="26"/>
      <c r="U570" s="26"/>
      <c r="V570" s="26"/>
      <c r="W570" s="26"/>
      <c r="X570" s="26"/>
      <c r="Y570" s="26"/>
      <c r="Z570" s="26"/>
      <c r="AA570" s="26"/>
      <c r="AB570" s="26"/>
      <c r="AC570" s="26"/>
      <c r="AD570" s="26"/>
      <c r="AE570" s="26"/>
      <c r="AF570" s="26"/>
      <c r="AG570" s="26"/>
      <c r="AH570" s="26"/>
      <c r="AI570" s="26"/>
      <c r="AJ570" s="26"/>
      <c r="AK570" s="26"/>
      <c r="AL570" s="26"/>
      <c r="AM570" s="26"/>
      <c r="AN570" s="26"/>
      <c r="AO570" s="26"/>
      <c r="AP570" s="26"/>
      <c r="AQ570" s="26"/>
      <c r="AR570" s="26"/>
      <c r="AS570" s="26"/>
      <c r="AT570" s="26"/>
      <c r="AU570" s="26"/>
      <c r="AV570" s="26"/>
      <c r="AW570" s="26"/>
      <c r="AX570" s="26"/>
      <c r="AY570" s="26"/>
    </row>
    <row r="571" spans="1:51">
      <c r="A571" s="458"/>
      <c r="B571" s="32" t="s">
        <v>138</v>
      </c>
      <c r="C571" s="12">
        <f>'2018'!$W$82</f>
        <v>0</v>
      </c>
      <c r="D571" s="12">
        <f>'BAU2030'!$W$82</f>
        <v>0</v>
      </c>
      <c r="E571" s="12">
        <f>'BAU2050'!$W$82</f>
        <v>0</v>
      </c>
      <c r="F571" s="281"/>
      <c r="G571" s="281"/>
      <c r="H571" s="281"/>
      <c r="S571" s="26"/>
      <c r="T571" s="26"/>
      <c r="U571" s="26"/>
      <c r="V571" s="26"/>
      <c r="W571" s="26"/>
      <c r="X571" s="26"/>
      <c r="Y571" s="26"/>
      <c r="Z571" s="26"/>
      <c r="AA571" s="26"/>
      <c r="AB571" s="26"/>
      <c r="AC571" s="26"/>
      <c r="AD571" s="26"/>
      <c r="AE571" s="26"/>
      <c r="AF571" s="26"/>
      <c r="AG571" s="26"/>
      <c r="AH571" s="26"/>
      <c r="AI571" s="26"/>
      <c r="AJ571" s="26"/>
      <c r="AK571" s="26"/>
      <c r="AL571" s="26"/>
      <c r="AM571" s="26"/>
      <c r="AN571" s="26"/>
      <c r="AO571" s="26"/>
      <c r="AP571" s="26"/>
      <c r="AQ571" s="26"/>
      <c r="AR571" s="26"/>
      <c r="AS571" s="26"/>
      <c r="AT571" s="26"/>
      <c r="AU571" s="26"/>
      <c r="AV571" s="26"/>
      <c r="AW571" s="26"/>
      <c r="AX571" s="26"/>
      <c r="AY571" s="26"/>
    </row>
    <row r="572" spans="1:51" ht="12.75" customHeight="1">
      <c r="A572" s="456" t="s">
        <v>139</v>
      </c>
      <c r="B572" s="32" t="s">
        <v>140</v>
      </c>
      <c r="C572" s="12">
        <f>'2018'!$U$82</f>
        <v>0</v>
      </c>
      <c r="D572" s="12">
        <f>'BAU2030'!$U$82</f>
        <v>0</v>
      </c>
      <c r="E572" s="12">
        <f>'BAU2050'!$U$82</f>
        <v>0</v>
      </c>
      <c r="F572" s="281"/>
      <c r="G572" s="281"/>
      <c r="H572" s="281"/>
      <c r="S572" s="26"/>
      <c r="T572" s="26"/>
      <c r="U572" s="26"/>
      <c r="V572" s="26"/>
      <c r="W572" s="26"/>
      <c r="X572" s="26"/>
      <c r="Y572" s="26"/>
      <c r="Z572" s="26"/>
      <c r="AA572" s="26"/>
      <c r="AB572" s="26"/>
      <c r="AC572" s="26"/>
      <c r="AD572" s="26"/>
      <c r="AE572" s="26"/>
      <c r="AF572" s="26"/>
      <c r="AG572" s="26"/>
      <c r="AH572" s="26"/>
      <c r="AI572" s="26"/>
      <c r="AJ572" s="26"/>
      <c r="AK572" s="26"/>
      <c r="AL572" s="26"/>
      <c r="AM572" s="26"/>
      <c r="AN572" s="26"/>
      <c r="AO572" s="26"/>
      <c r="AP572" s="26"/>
      <c r="AQ572" s="26"/>
      <c r="AR572" s="26"/>
      <c r="AS572" s="26"/>
      <c r="AT572" s="26"/>
      <c r="AU572" s="26"/>
      <c r="AV572" s="26"/>
      <c r="AW572" s="26"/>
      <c r="AX572" s="26"/>
      <c r="AY572" s="26"/>
    </row>
    <row r="573" spans="1:51">
      <c r="A573" s="457"/>
      <c r="B573" s="32" t="s">
        <v>141</v>
      </c>
      <c r="C573" s="12">
        <f>'2018'!$P$82+'2018'!$Q$82+'2018'!$R$82+'2018'!$S$82</f>
        <v>0</v>
      </c>
      <c r="D573" s="12">
        <f>'BAU2030'!$P$82+'BAU2030'!$Q$82+'BAU2030'!$R$82+'BAU2030'!$S$82</f>
        <v>0</v>
      </c>
      <c r="E573" s="12">
        <f>'BAU2050'!$P$82+'BAU2050'!$Q$82+'BAU2050'!$R$82+'BAU2050'!$S$82</f>
        <v>0</v>
      </c>
      <c r="F573" s="281"/>
      <c r="G573" s="281"/>
      <c r="H573" s="281"/>
      <c r="S573" s="26"/>
      <c r="T573" s="26"/>
      <c r="U573" s="26"/>
      <c r="V573" s="26"/>
      <c r="W573" s="26"/>
      <c r="X573" s="26"/>
      <c r="Y573" s="26"/>
      <c r="Z573" s="26"/>
      <c r="AA573" s="26"/>
      <c r="AB573" s="26"/>
      <c r="AC573" s="26"/>
      <c r="AD573" s="26"/>
      <c r="AE573" s="26"/>
      <c r="AF573" s="26"/>
      <c r="AG573" s="26"/>
      <c r="AH573" s="26"/>
      <c r="AI573" s="26"/>
      <c r="AJ573" s="26"/>
      <c r="AK573" s="26"/>
      <c r="AL573" s="26"/>
      <c r="AM573" s="26"/>
      <c r="AN573" s="26"/>
      <c r="AO573" s="26"/>
      <c r="AP573" s="26"/>
      <c r="AQ573" s="26"/>
      <c r="AR573" s="26"/>
      <c r="AS573" s="26"/>
      <c r="AT573" s="26"/>
      <c r="AU573" s="26"/>
      <c r="AV573" s="26"/>
      <c r="AW573" s="26"/>
      <c r="AX573" s="26"/>
      <c r="AY573" s="26"/>
    </row>
    <row r="574" spans="1:51">
      <c r="A574" s="457"/>
      <c r="B574" s="32" t="s">
        <v>142</v>
      </c>
      <c r="C574" s="12">
        <f>'2018'!$J$82</f>
        <v>0</v>
      </c>
      <c r="D574" s="12">
        <f>'BAU2030'!$J$82</f>
        <v>0</v>
      </c>
      <c r="E574" s="12">
        <f>'BAU2050'!$J$82</f>
        <v>0</v>
      </c>
      <c r="F574" s="281"/>
      <c r="G574" s="281"/>
      <c r="H574" s="281"/>
      <c r="S574" s="26"/>
      <c r="T574" s="26"/>
      <c r="U574" s="26"/>
      <c r="V574" s="26"/>
      <c r="W574" s="26"/>
      <c r="X574" s="26"/>
      <c r="Y574" s="26"/>
      <c r="Z574" s="26"/>
      <c r="AA574" s="26"/>
      <c r="AB574" s="26"/>
      <c r="AC574" s="26"/>
      <c r="AD574" s="26"/>
      <c r="AE574" s="26"/>
      <c r="AF574" s="26"/>
      <c r="AG574" s="26"/>
      <c r="AH574" s="26"/>
      <c r="AI574" s="26"/>
      <c r="AJ574" s="26"/>
      <c r="AK574" s="26"/>
      <c r="AL574" s="26"/>
      <c r="AM574" s="26"/>
      <c r="AN574" s="26"/>
      <c r="AO574" s="26"/>
      <c r="AP574" s="26"/>
      <c r="AQ574" s="26"/>
      <c r="AR574" s="26"/>
      <c r="AS574" s="26"/>
      <c r="AT574" s="26"/>
      <c r="AU574" s="26"/>
      <c r="AV574" s="26"/>
      <c r="AW574" s="26"/>
      <c r="AX574" s="26"/>
      <c r="AY574" s="26"/>
    </row>
    <row r="575" spans="1:51">
      <c r="A575" s="457"/>
      <c r="B575" s="32" t="s">
        <v>143</v>
      </c>
      <c r="C575" s="12">
        <f>'2018'!$O$82+'2018'!$T$82+'2018'!$V$82</f>
        <v>0</v>
      </c>
      <c r="D575" s="12">
        <f>'BAU2030'!$O$82+'BAU2030'!$T$82+'BAU2030'!$V$82</f>
        <v>0</v>
      </c>
      <c r="E575" s="12">
        <f>'BAU2050'!$O$82+'BAU2050'!$T$82+'BAU2050'!$V$82</f>
        <v>0</v>
      </c>
      <c r="F575" s="281"/>
      <c r="G575" s="281"/>
      <c r="H575" s="281"/>
      <c r="S575" s="26"/>
      <c r="T575" s="26"/>
      <c r="U575" s="26"/>
      <c r="V575" s="26"/>
      <c r="W575" s="26"/>
      <c r="X575" s="26"/>
      <c r="Y575" s="26"/>
      <c r="Z575" s="26"/>
      <c r="AA575" s="26"/>
      <c r="AB575" s="26"/>
      <c r="AC575" s="26"/>
      <c r="AD575" s="26"/>
      <c r="AE575" s="26"/>
      <c r="AF575" s="26"/>
      <c r="AG575" s="26"/>
      <c r="AH575" s="26"/>
      <c r="AI575" s="26"/>
      <c r="AJ575" s="26"/>
      <c r="AK575" s="26"/>
      <c r="AL575" s="26"/>
      <c r="AM575" s="26"/>
      <c r="AN575" s="26"/>
      <c r="AO575" s="26"/>
      <c r="AP575" s="26"/>
      <c r="AQ575" s="26"/>
      <c r="AR575" s="26"/>
      <c r="AS575" s="26"/>
      <c r="AT575" s="26"/>
      <c r="AU575" s="26"/>
      <c r="AV575" s="26"/>
      <c r="AW575" s="26"/>
      <c r="AX575" s="26"/>
      <c r="AY575" s="26"/>
    </row>
    <row r="576" spans="1:51">
      <c r="A576" s="457"/>
      <c r="B576" s="32" t="s">
        <v>144</v>
      </c>
      <c r="C576" s="12">
        <f>'2018'!$L$82</f>
        <v>0</v>
      </c>
      <c r="D576" s="12">
        <f>'BAU2030'!$L$82</f>
        <v>0</v>
      </c>
      <c r="E576" s="12">
        <f>'BAU2050'!$L$82</f>
        <v>0</v>
      </c>
      <c r="F576" s="281"/>
      <c r="G576" s="281"/>
      <c r="H576" s="281"/>
      <c r="S576" s="26"/>
      <c r="T576" s="26"/>
      <c r="U576" s="26"/>
      <c r="V576" s="26"/>
      <c r="W576" s="26"/>
      <c r="X576" s="26"/>
      <c r="Y576" s="26"/>
      <c r="Z576" s="26"/>
      <c r="AA576" s="26"/>
      <c r="AB576" s="26"/>
      <c r="AC576" s="26"/>
      <c r="AD576" s="26"/>
      <c r="AE576" s="26"/>
      <c r="AF576" s="26"/>
      <c r="AG576" s="26"/>
      <c r="AH576" s="26"/>
      <c r="AI576" s="26"/>
      <c r="AJ576" s="26"/>
      <c r="AK576" s="26"/>
      <c r="AL576" s="26"/>
      <c r="AM576" s="26"/>
      <c r="AN576" s="26"/>
      <c r="AO576" s="26"/>
      <c r="AP576" s="26"/>
      <c r="AQ576" s="26"/>
      <c r="AR576" s="26"/>
      <c r="AS576" s="26"/>
      <c r="AT576" s="26"/>
      <c r="AU576" s="26"/>
      <c r="AV576" s="26"/>
      <c r="AW576" s="26"/>
      <c r="AX576" s="26"/>
      <c r="AY576" s="26"/>
    </row>
    <row r="577" spans="1:51">
      <c r="A577" s="458"/>
      <c r="B577" s="32" t="s">
        <v>145</v>
      </c>
      <c r="C577" s="12">
        <f>'2018'!$K$82+'2018'!$M$82+'2018'!$N$82</f>
        <v>0</v>
      </c>
      <c r="D577" s="12">
        <f>'BAU2030'!$K$82+'BAU2030'!$M$82+'BAU2030'!$N$82</f>
        <v>0</v>
      </c>
      <c r="E577" s="12">
        <f>'BAU2050'!$K$82+'BAU2050'!$M$82+'BAU2050'!$N$82</f>
        <v>0</v>
      </c>
      <c r="F577" s="281"/>
      <c r="G577" s="281"/>
      <c r="H577" s="281"/>
      <c r="S577" s="26"/>
      <c r="T577" s="26"/>
      <c r="U577" s="26"/>
      <c r="V577" s="26"/>
      <c r="W577" s="26"/>
      <c r="X577" s="26"/>
      <c r="Y577" s="26"/>
      <c r="Z577" s="26"/>
      <c r="AA577" s="26"/>
      <c r="AB577" s="26"/>
      <c r="AC577" s="26"/>
      <c r="AD577" s="26"/>
      <c r="AE577" s="26"/>
      <c r="AF577" s="26"/>
      <c r="AG577" s="26"/>
      <c r="AH577" s="26"/>
      <c r="AI577" s="26"/>
      <c r="AJ577" s="26"/>
      <c r="AK577" s="26"/>
      <c r="AL577" s="26"/>
      <c r="AM577" s="26"/>
      <c r="AN577" s="26"/>
      <c r="AO577" s="26"/>
      <c r="AP577" s="26"/>
      <c r="AQ577" s="26"/>
      <c r="AR577" s="26"/>
      <c r="AS577" s="26"/>
      <c r="AT577" s="26"/>
      <c r="AU577" s="26"/>
      <c r="AV577" s="26"/>
      <c r="AW577" s="26"/>
      <c r="AX577" s="26"/>
      <c r="AY577" s="26"/>
    </row>
    <row r="578" spans="1:51">
      <c r="B578" s="55" t="s">
        <v>147</v>
      </c>
      <c r="C578" s="56">
        <f>SUM(C564:C577)</f>
        <v>336.54126847460918</v>
      </c>
      <c r="D578" s="56">
        <f>SUM(D564:D577)</f>
        <v>304.62340768899998</v>
      </c>
      <c r="E578" s="56">
        <f>SUM(E564:E577)</f>
        <v>221.62284492000003</v>
      </c>
      <c r="F578" s="282"/>
      <c r="G578" s="282"/>
      <c r="H578" s="282"/>
      <c r="S578" s="26"/>
      <c r="T578" s="26"/>
      <c r="U578" s="26"/>
      <c r="V578" s="26"/>
      <c r="W578" s="26"/>
      <c r="X578" s="26"/>
      <c r="Y578" s="26"/>
      <c r="Z578" s="26"/>
      <c r="AA578" s="26"/>
      <c r="AB578" s="26"/>
      <c r="AC578" s="26"/>
      <c r="AD578" s="26"/>
      <c r="AE578" s="26"/>
      <c r="AF578" s="26"/>
      <c r="AG578" s="26"/>
      <c r="AH578" s="26"/>
      <c r="AI578" s="26"/>
      <c r="AJ578" s="26"/>
      <c r="AK578" s="26"/>
      <c r="AL578" s="26"/>
      <c r="AM578" s="26"/>
      <c r="AN578" s="26"/>
      <c r="AO578" s="26"/>
      <c r="AP578" s="26"/>
      <c r="AQ578" s="26"/>
      <c r="AR578" s="26"/>
      <c r="AS578" s="26"/>
      <c r="AT578" s="26"/>
      <c r="AU578" s="26"/>
      <c r="AV578" s="26"/>
      <c r="AW578" s="26"/>
      <c r="AX578" s="26"/>
      <c r="AY578" s="26"/>
    </row>
    <row r="579" spans="1:51">
      <c r="B579" s="31"/>
      <c r="C579" s="50"/>
      <c r="D579" s="50"/>
      <c r="S579" s="26"/>
      <c r="T579" s="26"/>
      <c r="U579" s="26"/>
      <c r="V579" s="26"/>
      <c r="W579" s="26"/>
      <c r="X579" s="26"/>
      <c r="Y579" s="26"/>
      <c r="Z579" s="26"/>
      <c r="AA579" s="26"/>
      <c r="AB579" s="26"/>
      <c r="AC579" s="26"/>
      <c r="AD579" s="26"/>
      <c r="AE579" s="26"/>
      <c r="AF579" s="26"/>
      <c r="AG579" s="26"/>
      <c r="AH579" s="26"/>
      <c r="AI579" s="26"/>
      <c r="AJ579" s="26"/>
      <c r="AK579" s="26"/>
      <c r="AL579" s="26"/>
      <c r="AM579" s="26"/>
      <c r="AN579" s="26"/>
      <c r="AO579" s="26"/>
      <c r="AP579" s="26"/>
      <c r="AQ579" s="26"/>
      <c r="AR579" s="26"/>
      <c r="AS579" s="26"/>
      <c r="AT579" s="26"/>
      <c r="AU579" s="26"/>
      <c r="AV579" s="26"/>
      <c r="AW579" s="26"/>
      <c r="AX579" s="26"/>
      <c r="AY579" s="26"/>
    </row>
    <row r="580" spans="1:51">
      <c r="B580" s="31"/>
      <c r="C580" s="50"/>
      <c r="D580" s="50"/>
      <c r="S580" s="26"/>
      <c r="T580" s="26"/>
      <c r="U580" s="26"/>
      <c r="V580" s="26"/>
      <c r="W580" s="26"/>
      <c r="X580" s="26"/>
      <c r="Y580" s="26"/>
      <c r="Z580" s="26"/>
      <c r="AA580" s="26"/>
      <c r="AB580" s="26"/>
      <c r="AC580" s="26"/>
      <c r="AD580" s="26"/>
      <c r="AE580" s="26"/>
      <c r="AF580" s="26"/>
      <c r="AG580" s="26"/>
      <c r="AH580" s="26"/>
      <c r="AI580" s="26"/>
      <c r="AJ580" s="26"/>
      <c r="AK580" s="26"/>
      <c r="AL580" s="26"/>
      <c r="AM580" s="26"/>
      <c r="AN580" s="26"/>
      <c r="AO580" s="26"/>
      <c r="AP580" s="26"/>
      <c r="AQ580" s="26"/>
      <c r="AR580" s="26"/>
      <c r="AS580" s="26"/>
      <c r="AT580" s="26"/>
      <c r="AU580" s="26"/>
      <c r="AV580" s="26"/>
      <c r="AW580" s="26"/>
      <c r="AX580" s="26"/>
      <c r="AY580" s="26"/>
    </row>
    <row r="581" spans="1:51" ht="15.6">
      <c r="B581" s="31" t="s">
        <v>164</v>
      </c>
      <c r="C581" s="50"/>
      <c r="D581" s="50"/>
      <c r="S581" s="26"/>
      <c r="T581" s="26"/>
      <c r="U581" s="26"/>
      <c r="V581" s="26"/>
      <c r="W581" s="26"/>
      <c r="X581" s="26"/>
      <c r="Y581" s="26"/>
      <c r="Z581" s="26"/>
      <c r="AA581" s="26"/>
      <c r="AB581" s="26"/>
      <c r="AC581" s="26"/>
      <c r="AD581" s="26"/>
      <c r="AE581" s="26"/>
      <c r="AF581" s="26"/>
      <c r="AG581" s="26"/>
      <c r="AH581" s="26"/>
      <c r="AI581" s="26"/>
      <c r="AJ581" s="26"/>
      <c r="AK581" s="26"/>
      <c r="AL581" s="26"/>
      <c r="AM581" s="26"/>
      <c r="AN581" s="26"/>
      <c r="AO581" s="26"/>
      <c r="AP581" s="26"/>
      <c r="AQ581" s="26"/>
      <c r="AR581" s="26"/>
      <c r="AS581" s="26"/>
      <c r="AT581" s="26"/>
      <c r="AU581" s="26"/>
      <c r="AV581" s="26"/>
      <c r="AW581" s="26"/>
      <c r="AX581" s="26"/>
      <c r="AY581" s="26"/>
    </row>
    <row r="582" spans="1:51">
      <c r="B582" s="31"/>
      <c r="C582" s="50"/>
      <c r="D582" s="50"/>
      <c r="S582" s="26"/>
      <c r="T582" s="26"/>
      <c r="U582" s="26"/>
      <c r="V582" s="26"/>
      <c r="W582" s="26"/>
      <c r="X582" s="26"/>
      <c r="Y582" s="26"/>
      <c r="Z582" s="26"/>
      <c r="AA582" s="26"/>
      <c r="AB582" s="26"/>
      <c r="AC582" s="26"/>
      <c r="AD582" s="26"/>
      <c r="AE582" s="26"/>
      <c r="AF582" s="26"/>
      <c r="AG582" s="26"/>
      <c r="AH582" s="26"/>
      <c r="AI582" s="26"/>
      <c r="AJ582" s="26"/>
      <c r="AK582" s="26"/>
      <c r="AL582" s="26"/>
      <c r="AM582" s="26"/>
      <c r="AN582" s="26"/>
      <c r="AO582" s="26"/>
      <c r="AP582" s="26"/>
      <c r="AQ582" s="26"/>
      <c r="AR582" s="26"/>
      <c r="AS582" s="26"/>
      <c r="AT582" s="26"/>
      <c r="AU582" s="26"/>
      <c r="AV582" s="26"/>
      <c r="AW582" s="26"/>
      <c r="AX582" s="26"/>
      <c r="AY582" s="26"/>
    </row>
    <row r="583" spans="1:51">
      <c r="B583" s="31"/>
      <c r="C583" s="50"/>
      <c r="D583" s="50"/>
      <c r="S583" s="26"/>
      <c r="T583" s="26"/>
      <c r="U583" s="26"/>
      <c r="V583" s="26"/>
      <c r="W583" s="26"/>
      <c r="X583" s="26"/>
      <c r="Y583" s="26"/>
      <c r="Z583" s="26"/>
      <c r="AA583" s="26"/>
      <c r="AB583" s="26"/>
      <c r="AC583" s="26"/>
      <c r="AD583" s="26"/>
      <c r="AE583" s="26"/>
      <c r="AF583" s="26"/>
      <c r="AG583" s="26"/>
      <c r="AH583" s="26"/>
      <c r="AI583" s="26"/>
      <c r="AJ583" s="26"/>
      <c r="AK583" s="26"/>
      <c r="AL583" s="26"/>
      <c r="AM583" s="26"/>
      <c r="AN583" s="26"/>
      <c r="AO583" s="26"/>
      <c r="AP583" s="26"/>
      <c r="AQ583" s="26"/>
      <c r="AR583" s="26"/>
      <c r="AS583" s="26"/>
      <c r="AT583" s="26"/>
      <c r="AU583" s="26"/>
      <c r="AV583" s="26"/>
      <c r="AW583" s="26"/>
      <c r="AX583" s="26"/>
      <c r="AY583" s="26"/>
    </row>
    <row r="584" spans="1:51">
      <c r="B584" s="31"/>
      <c r="C584" s="50"/>
      <c r="D584" s="50"/>
      <c r="S584" s="26"/>
      <c r="T584" s="26"/>
      <c r="U584" s="26"/>
      <c r="V584" s="26"/>
      <c r="W584" s="26"/>
      <c r="X584" s="26"/>
      <c r="Y584" s="26"/>
      <c r="Z584" s="26"/>
      <c r="AA584" s="26"/>
      <c r="AB584" s="26"/>
      <c r="AC584" s="26"/>
      <c r="AD584" s="26"/>
      <c r="AE584" s="26"/>
      <c r="AF584" s="26"/>
      <c r="AG584" s="26"/>
      <c r="AH584" s="26"/>
      <c r="AI584" s="26"/>
      <c r="AJ584" s="26"/>
      <c r="AK584" s="26"/>
      <c r="AL584" s="26"/>
      <c r="AM584" s="26"/>
      <c r="AN584" s="26"/>
      <c r="AO584" s="26"/>
      <c r="AP584" s="26"/>
      <c r="AQ584" s="26"/>
      <c r="AR584" s="26"/>
      <c r="AS584" s="26"/>
      <c r="AT584" s="26"/>
      <c r="AU584" s="26"/>
      <c r="AV584" s="26"/>
      <c r="AW584" s="26"/>
      <c r="AX584" s="26"/>
      <c r="AY584" s="26"/>
    </row>
    <row r="585" spans="1:51">
      <c r="B585" s="31"/>
      <c r="C585" s="50"/>
      <c r="D585" s="50"/>
      <c r="S585" s="26"/>
      <c r="T585" s="26"/>
      <c r="U585" s="26"/>
      <c r="V585" s="26"/>
      <c r="W585" s="26"/>
      <c r="X585" s="26"/>
      <c r="Y585" s="26"/>
      <c r="Z585" s="26"/>
      <c r="AA585" s="26"/>
      <c r="AB585" s="26"/>
      <c r="AC585" s="26"/>
      <c r="AD585" s="26"/>
      <c r="AE585" s="26"/>
      <c r="AF585" s="26"/>
      <c r="AG585" s="26"/>
      <c r="AH585" s="26"/>
      <c r="AI585" s="26"/>
      <c r="AJ585" s="26"/>
      <c r="AK585" s="26"/>
      <c r="AL585" s="26"/>
      <c r="AM585" s="26"/>
      <c r="AN585" s="26"/>
      <c r="AO585" s="26"/>
      <c r="AP585" s="26"/>
      <c r="AQ585" s="26"/>
      <c r="AR585" s="26"/>
      <c r="AS585" s="26"/>
      <c r="AT585" s="26"/>
      <c r="AU585" s="26"/>
      <c r="AV585" s="26"/>
      <c r="AW585" s="26"/>
      <c r="AX585" s="26"/>
      <c r="AY585" s="26"/>
    </row>
    <row r="586" spans="1:51">
      <c r="B586" s="31"/>
      <c r="C586" s="50"/>
      <c r="D586" s="50"/>
      <c r="S586" s="26"/>
      <c r="T586" s="26"/>
      <c r="U586" s="26"/>
      <c r="V586" s="26"/>
      <c r="W586" s="26"/>
      <c r="X586" s="26"/>
      <c r="Y586" s="26"/>
      <c r="Z586" s="26"/>
      <c r="AA586" s="26"/>
      <c r="AB586" s="26"/>
      <c r="AC586" s="26"/>
      <c r="AD586" s="26"/>
      <c r="AE586" s="26"/>
      <c r="AF586" s="26"/>
      <c r="AG586" s="26"/>
      <c r="AH586" s="26"/>
      <c r="AI586" s="26"/>
      <c r="AJ586" s="26"/>
      <c r="AK586" s="26"/>
      <c r="AL586" s="26"/>
      <c r="AM586" s="26"/>
      <c r="AN586" s="26"/>
      <c r="AO586" s="26"/>
      <c r="AP586" s="26"/>
      <c r="AQ586" s="26"/>
      <c r="AR586" s="26"/>
      <c r="AS586" s="26"/>
      <c r="AT586" s="26"/>
      <c r="AU586" s="26"/>
      <c r="AV586" s="26"/>
      <c r="AW586" s="26"/>
      <c r="AX586" s="26"/>
      <c r="AY586" s="26"/>
    </row>
    <row r="587" spans="1:51">
      <c r="B587" s="31"/>
      <c r="C587" s="50"/>
      <c r="D587" s="50"/>
      <c r="S587" s="26"/>
      <c r="T587" s="26"/>
      <c r="U587" s="26"/>
      <c r="V587" s="26"/>
      <c r="W587" s="26"/>
      <c r="X587" s="26"/>
      <c r="Y587" s="26"/>
      <c r="Z587" s="26"/>
      <c r="AA587" s="26"/>
      <c r="AB587" s="26"/>
      <c r="AC587" s="26"/>
      <c r="AD587" s="26"/>
      <c r="AE587" s="26"/>
      <c r="AF587" s="26"/>
      <c r="AG587" s="26"/>
      <c r="AH587" s="26"/>
      <c r="AI587" s="26"/>
      <c r="AJ587" s="26"/>
      <c r="AK587" s="26"/>
      <c r="AL587" s="26"/>
      <c r="AM587" s="26"/>
      <c r="AN587" s="26"/>
      <c r="AO587" s="26"/>
      <c r="AP587" s="26"/>
      <c r="AQ587" s="26"/>
      <c r="AR587" s="26"/>
      <c r="AS587" s="26"/>
      <c r="AT587" s="26"/>
      <c r="AU587" s="26"/>
      <c r="AV587" s="26"/>
      <c r="AW587" s="26"/>
      <c r="AX587" s="26"/>
      <c r="AY587" s="26"/>
    </row>
    <row r="588" spans="1:51">
      <c r="B588" s="31"/>
      <c r="C588" s="50"/>
      <c r="D588" s="50"/>
      <c r="S588" s="26"/>
      <c r="T588" s="26"/>
      <c r="U588" s="26"/>
      <c r="V588" s="26"/>
      <c r="W588" s="26"/>
      <c r="X588" s="26"/>
      <c r="Y588" s="26"/>
      <c r="Z588" s="26"/>
      <c r="AA588" s="26"/>
      <c r="AB588" s="26"/>
      <c r="AC588" s="26"/>
      <c r="AD588" s="26"/>
      <c r="AE588" s="26"/>
      <c r="AF588" s="26"/>
      <c r="AG588" s="26"/>
      <c r="AH588" s="26"/>
      <c r="AI588" s="26"/>
      <c r="AJ588" s="26"/>
      <c r="AK588" s="26"/>
      <c r="AL588" s="26"/>
      <c r="AM588" s="26"/>
      <c r="AN588" s="26"/>
      <c r="AO588" s="26"/>
      <c r="AP588" s="26"/>
      <c r="AQ588" s="26"/>
      <c r="AR588" s="26"/>
      <c r="AS588" s="26"/>
      <c r="AT588" s="26"/>
      <c r="AU588" s="26"/>
      <c r="AV588" s="26"/>
      <c r="AW588" s="26"/>
      <c r="AX588" s="26"/>
      <c r="AY588" s="26"/>
    </row>
    <row r="589" spans="1:51">
      <c r="B589" s="31"/>
      <c r="C589" s="50"/>
      <c r="D589" s="50"/>
      <c r="S589" s="26"/>
      <c r="T589" s="26"/>
      <c r="U589" s="26"/>
      <c r="V589" s="26"/>
      <c r="W589" s="26"/>
      <c r="X589" s="26"/>
      <c r="Y589" s="26"/>
      <c r="Z589" s="26"/>
      <c r="AA589" s="26"/>
      <c r="AB589" s="26"/>
      <c r="AC589" s="26"/>
      <c r="AD589" s="26"/>
      <c r="AE589" s="26"/>
      <c r="AF589" s="26"/>
      <c r="AG589" s="26"/>
      <c r="AH589" s="26"/>
      <c r="AI589" s="26"/>
      <c r="AJ589" s="26"/>
      <c r="AK589" s="26"/>
      <c r="AL589" s="26"/>
      <c r="AM589" s="26"/>
      <c r="AN589" s="26"/>
      <c r="AO589" s="26"/>
      <c r="AP589" s="26"/>
      <c r="AQ589" s="26"/>
      <c r="AR589" s="26"/>
      <c r="AS589" s="26"/>
      <c r="AT589" s="26"/>
      <c r="AU589" s="26"/>
      <c r="AV589" s="26"/>
      <c r="AW589" s="26"/>
      <c r="AX589" s="26"/>
      <c r="AY589" s="26"/>
    </row>
    <row r="590" spans="1:51">
      <c r="B590" s="31"/>
      <c r="C590" s="50"/>
      <c r="D590" s="50"/>
      <c r="S590" s="26"/>
      <c r="T590" s="26"/>
      <c r="U590" s="26"/>
      <c r="V590" s="26"/>
      <c r="W590" s="26"/>
      <c r="X590" s="26"/>
      <c r="Y590" s="26"/>
      <c r="Z590" s="26"/>
      <c r="AA590" s="26"/>
      <c r="AB590" s="26"/>
      <c r="AC590" s="26"/>
      <c r="AD590" s="26"/>
      <c r="AE590" s="26"/>
      <c r="AF590" s="26"/>
      <c r="AG590" s="26"/>
      <c r="AH590" s="26"/>
      <c r="AI590" s="26"/>
      <c r="AJ590" s="26"/>
      <c r="AK590" s="26"/>
      <c r="AL590" s="26"/>
      <c r="AM590" s="26"/>
      <c r="AN590" s="26"/>
      <c r="AO590" s="26"/>
      <c r="AP590" s="26"/>
      <c r="AQ590" s="26"/>
      <c r="AR590" s="26"/>
      <c r="AS590" s="26"/>
      <c r="AT590" s="26"/>
      <c r="AU590" s="26"/>
      <c r="AV590" s="26"/>
      <c r="AW590" s="26"/>
      <c r="AX590" s="26"/>
      <c r="AY590" s="26"/>
    </row>
    <row r="591" spans="1:51">
      <c r="B591" s="31"/>
      <c r="C591" s="50"/>
      <c r="D591" s="50"/>
      <c r="S591" s="26"/>
      <c r="T591" s="26"/>
      <c r="U591" s="26"/>
      <c r="V591" s="26"/>
      <c r="W591" s="26"/>
      <c r="X591" s="26"/>
      <c r="Y591" s="26"/>
      <c r="Z591" s="26"/>
      <c r="AA591" s="26"/>
      <c r="AB591" s="26"/>
      <c r="AC591" s="26"/>
      <c r="AD591" s="26"/>
      <c r="AE591" s="26"/>
      <c r="AF591" s="26"/>
      <c r="AG591" s="26"/>
      <c r="AH591" s="26"/>
      <c r="AI591" s="26"/>
      <c r="AJ591" s="26"/>
      <c r="AK591" s="26"/>
      <c r="AL591" s="26"/>
      <c r="AM591" s="26"/>
      <c r="AN591" s="26"/>
      <c r="AO591" s="26"/>
      <c r="AP591" s="26"/>
      <c r="AQ591" s="26"/>
      <c r="AR591" s="26"/>
      <c r="AS591" s="26"/>
      <c r="AT591" s="26"/>
      <c r="AU591" s="26"/>
      <c r="AV591" s="26"/>
      <c r="AW591" s="26"/>
      <c r="AX591" s="26"/>
      <c r="AY591" s="26"/>
    </row>
    <row r="592" spans="1:51">
      <c r="B592" s="31"/>
      <c r="C592" s="50"/>
      <c r="D592" s="50"/>
      <c r="S592" s="26"/>
      <c r="T592" s="26"/>
      <c r="U592" s="26"/>
      <c r="V592" s="26"/>
      <c r="W592" s="26"/>
      <c r="X592" s="26"/>
      <c r="Y592" s="26"/>
      <c r="Z592" s="26"/>
      <c r="AA592" s="26"/>
      <c r="AB592" s="26"/>
      <c r="AC592" s="26"/>
      <c r="AD592" s="26"/>
      <c r="AE592" s="26"/>
      <c r="AF592" s="26"/>
      <c r="AG592" s="26"/>
      <c r="AH592" s="26"/>
      <c r="AI592" s="26"/>
      <c r="AJ592" s="26"/>
      <c r="AK592" s="26"/>
      <c r="AL592" s="26"/>
      <c r="AM592" s="26"/>
      <c r="AN592" s="26"/>
      <c r="AO592" s="26"/>
      <c r="AP592" s="26"/>
      <c r="AQ592" s="26"/>
      <c r="AR592" s="26"/>
      <c r="AS592" s="26"/>
      <c r="AT592" s="26"/>
      <c r="AU592" s="26"/>
      <c r="AV592" s="26"/>
      <c r="AW592" s="26"/>
      <c r="AX592" s="26"/>
      <c r="AY592" s="26"/>
    </row>
    <row r="593" spans="2:51">
      <c r="B593" s="31"/>
      <c r="C593" s="50"/>
      <c r="D593" s="50"/>
      <c r="S593" s="26"/>
      <c r="T593" s="26"/>
      <c r="U593" s="26"/>
      <c r="V593" s="26"/>
      <c r="W593" s="26"/>
      <c r="X593" s="26"/>
      <c r="Y593" s="26"/>
      <c r="Z593" s="26"/>
      <c r="AA593" s="26"/>
      <c r="AB593" s="26"/>
      <c r="AC593" s="26"/>
      <c r="AD593" s="26"/>
      <c r="AE593" s="26"/>
      <c r="AF593" s="26"/>
      <c r="AG593" s="26"/>
      <c r="AH593" s="26"/>
      <c r="AI593" s="26"/>
      <c r="AJ593" s="26"/>
      <c r="AK593" s="26"/>
      <c r="AL593" s="26"/>
      <c r="AM593" s="26"/>
      <c r="AN593" s="26"/>
      <c r="AO593" s="26"/>
      <c r="AP593" s="26"/>
      <c r="AQ593" s="26"/>
      <c r="AR593" s="26"/>
      <c r="AS593" s="26"/>
      <c r="AT593" s="26"/>
      <c r="AU593" s="26"/>
      <c r="AV593" s="26"/>
      <c r="AW593" s="26"/>
      <c r="AX593" s="26"/>
      <c r="AY593" s="26"/>
    </row>
    <row r="594" spans="2:51">
      <c r="B594" s="31"/>
      <c r="C594" s="50"/>
      <c r="D594" s="50"/>
      <c r="S594" s="26"/>
      <c r="T594" s="26"/>
      <c r="U594" s="26"/>
      <c r="V594" s="26"/>
      <c r="W594" s="26"/>
      <c r="X594" s="26"/>
      <c r="Y594" s="26"/>
      <c r="Z594" s="26"/>
      <c r="AA594" s="26"/>
      <c r="AB594" s="26"/>
      <c r="AC594" s="26"/>
      <c r="AD594" s="26"/>
      <c r="AE594" s="26"/>
      <c r="AF594" s="26"/>
      <c r="AG594" s="26"/>
      <c r="AH594" s="26"/>
      <c r="AI594" s="26"/>
      <c r="AJ594" s="26"/>
      <c r="AK594" s="26"/>
      <c r="AL594" s="26"/>
      <c r="AM594" s="26"/>
      <c r="AN594" s="26"/>
      <c r="AO594" s="26"/>
      <c r="AP594" s="26"/>
      <c r="AQ594" s="26"/>
      <c r="AR594" s="26"/>
      <c r="AS594" s="26"/>
      <c r="AT594" s="26"/>
      <c r="AU594" s="26"/>
      <c r="AV594" s="26"/>
      <c r="AW594" s="26"/>
      <c r="AX594" s="26"/>
      <c r="AY594" s="26"/>
    </row>
    <row r="595" spans="2:51">
      <c r="B595" s="31"/>
      <c r="C595" s="50"/>
      <c r="D595" s="50"/>
      <c r="S595" s="26"/>
      <c r="T595" s="26"/>
      <c r="U595" s="26"/>
      <c r="V595" s="26"/>
      <c r="W595" s="26"/>
      <c r="X595" s="26"/>
      <c r="Y595" s="26"/>
      <c r="Z595" s="26"/>
      <c r="AA595" s="26"/>
      <c r="AB595" s="26"/>
      <c r="AC595" s="26"/>
      <c r="AD595" s="26"/>
      <c r="AE595" s="26"/>
      <c r="AF595" s="26"/>
      <c r="AG595" s="26"/>
      <c r="AH595" s="26"/>
      <c r="AI595" s="26"/>
      <c r="AJ595" s="26"/>
      <c r="AK595" s="26"/>
      <c r="AL595" s="26"/>
      <c r="AM595" s="26"/>
      <c r="AN595" s="26"/>
      <c r="AO595" s="26"/>
      <c r="AP595" s="26"/>
      <c r="AQ595" s="26"/>
      <c r="AR595" s="26"/>
      <c r="AS595" s="26"/>
      <c r="AT595" s="26"/>
      <c r="AU595" s="26"/>
      <c r="AV595" s="26"/>
      <c r="AW595" s="26"/>
      <c r="AX595" s="26"/>
      <c r="AY595" s="26"/>
    </row>
    <row r="596" spans="2:51">
      <c r="B596" s="31"/>
      <c r="C596" s="50"/>
      <c r="D596" s="50"/>
      <c r="S596" s="26"/>
      <c r="T596" s="26"/>
      <c r="U596" s="26"/>
      <c r="V596" s="26"/>
      <c r="W596" s="26"/>
      <c r="X596" s="26"/>
      <c r="Y596" s="26"/>
      <c r="Z596" s="26"/>
      <c r="AA596" s="26"/>
      <c r="AB596" s="26"/>
      <c r="AC596" s="26"/>
      <c r="AD596" s="26"/>
      <c r="AE596" s="26"/>
      <c r="AF596" s="26"/>
      <c r="AG596" s="26"/>
      <c r="AH596" s="26"/>
      <c r="AI596" s="26"/>
      <c r="AJ596" s="26"/>
      <c r="AK596" s="26"/>
      <c r="AL596" s="26"/>
      <c r="AM596" s="26"/>
      <c r="AN596" s="26"/>
      <c r="AO596" s="26"/>
      <c r="AP596" s="26"/>
      <c r="AQ596" s="26"/>
      <c r="AR596" s="26"/>
      <c r="AS596" s="26"/>
      <c r="AT596" s="26"/>
      <c r="AU596" s="26"/>
      <c r="AV596" s="26"/>
      <c r="AW596" s="26"/>
      <c r="AX596" s="26"/>
      <c r="AY596" s="26"/>
    </row>
    <row r="597" spans="2:51">
      <c r="B597" s="31"/>
      <c r="C597" s="50"/>
      <c r="D597" s="50"/>
      <c r="S597" s="26"/>
      <c r="T597" s="26"/>
      <c r="U597" s="26"/>
      <c r="V597" s="26"/>
      <c r="W597" s="26"/>
      <c r="X597" s="26"/>
      <c r="Y597" s="26"/>
      <c r="Z597" s="26"/>
      <c r="AA597" s="26"/>
      <c r="AB597" s="26"/>
      <c r="AC597" s="26"/>
      <c r="AD597" s="26"/>
      <c r="AE597" s="26"/>
      <c r="AF597" s="26"/>
      <c r="AG597" s="26"/>
      <c r="AH597" s="26"/>
      <c r="AI597" s="26"/>
      <c r="AJ597" s="26"/>
      <c r="AK597" s="26"/>
      <c r="AL597" s="26"/>
      <c r="AM597" s="26"/>
      <c r="AN597" s="26"/>
      <c r="AO597" s="26"/>
      <c r="AP597" s="26"/>
      <c r="AQ597" s="26"/>
      <c r="AR597" s="26"/>
      <c r="AS597" s="26"/>
      <c r="AT597" s="26"/>
      <c r="AU597" s="26"/>
      <c r="AV597" s="26"/>
      <c r="AW597" s="26"/>
      <c r="AX597" s="26"/>
      <c r="AY597" s="26"/>
    </row>
    <row r="598" spans="2:51">
      <c r="B598" s="31"/>
      <c r="C598" s="50"/>
      <c r="D598" s="50"/>
      <c r="S598" s="26"/>
      <c r="T598" s="26"/>
      <c r="U598" s="26"/>
      <c r="V598" s="26"/>
      <c r="W598" s="26"/>
      <c r="X598" s="26"/>
      <c r="Y598" s="26"/>
      <c r="Z598" s="26"/>
      <c r="AA598" s="26"/>
      <c r="AB598" s="26"/>
      <c r="AC598" s="26"/>
      <c r="AD598" s="26"/>
      <c r="AE598" s="26"/>
      <c r="AF598" s="26"/>
      <c r="AG598" s="26"/>
      <c r="AH598" s="26"/>
      <c r="AI598" s="26"/>
      <c r="AJ598" s="26"/>
      <c r="AK598" s="26"/>
      <c r="AL598" s="26"/>
      <c r="AM598" s="26"/>
      <c r="AN598" s="26"/>
      <c r="AO598" s="26"/>
      <c r="AP598" s="26"/>
      <c r="AQ598" s="26"/>
      <c r="AR598" s="26"/>
      <c r="AS598" s="26"/>
      <c r="AT598" s="26"/>
      <c r="AU598" s="26"/>
      <c r="AV598" s="26"/>
      <c r="AW598" s="26"/>
      <c r="AX598" s="26"/>
      <c r="AY598" s="26"/>
    </row>
    <row r="599" spans="2:51">
      <c r="B599" s="31"/>
      <c r="C599" s="50"/>
      <c r="D599" s="50"/>
      <c r="S599" s="26"/>
      <c r="T599" s="26"/>
      <c r="U599" s="26"/>
      <c r="V599" s="26"/>
      <c r="W599" s="26"/>
      <c r="X599" s="26"/>
      <c r="Y599" s="26"/>
      <c r="Z599" s="26"/>
      <c r="AA599" s="26"/>
      <c r="AB599" s="26"/>
      <c r="AC599" s="26"/>
      <c r="AD599" s="26"/>
      <c r="AE599" s="26"/>
      <c r="AF599" s="26"/>
      <c r="AG599" s="26"/>
      <c r="AH599" s="26"/>
      <c r="AI599" s="26"/>
      <c r="AJ599" s="26"/>
      <c r="AK599" s="26"/>
      <c r="AL599" s="26"/>
      <c r="AM599" s="26"/>
      <c r="AN599" s="26"/>
      <c r="AO599" s="26"/>
      <c r="AP599" s="26"/>
      <c r="AQ599" s="26"/>
      <c r="AR599" s="26"/>
      <c r="AS599" s="26"/>
      <c r="AT599" s="26"/>
      <c r="AU599" s="26"/>
      <c r="AV599" s="26"/>
      <c r="AW599" s="26"/>
      <c r="AX599" s="26"/>
      <c r="AY599" s="26"/>
    </row>
    <row r="600" spans="2:51">
      <c r="B600" s="31"/>
      <c r="C600" s="50"/>
      <c r="D600" s="50"/>
      <c r="S600" s="26"/>
      <c r="T600" s="26"/>
      <c r="U600" s="26"/>
      <c r="V600" s="26"/>
      <c r="W600" s="26"/>
      <c r="X600" s="26"/>
      <c r="Y600" s="26"/>
      <c r="Z600" s="26"/>
      <c r="AA600" s="26"/>
      <c r="AB600" s="26"/>
      <c r="AC600" s="26"/>
      <c r="AD600" s="26"/>
      <c r="AE600" s="26"/>
      <c r="AF600" s="26"/>
      <c r="AG600" s="26"/>
      <c r="AH600" s="26"/>
      <c r="AI600" s="26"/>
      <c r="AJ600" s="26"/>
      <c r="AK600" s="26"/>
      <c r="AL600" s="26"/>
      <c r="AM600" s="26"/>
      <c r="AN600" s="26"/>
      <c r="AO600" s="26"/>
      <c r="AP600" s="26"/>
      <c r="AQ600" s="26"/>
      <c r="AR600" s="26"/>
      <c r="AS600" s="26"/>
      <c r="AT600" s="26"/>
      <c r="AU600" s="26"/>
      <c r="AV600" s="26"/>
      <c r="AW600" s="26"/>
      <c r="AX600" s="26"/>
      <c r="AY600" s="26"/>
    </row>
    <row r="601" spans="2:51">
      <c r="B601" s="31"/>
      <c r="C601" s="50"/>
      <c r="D601" s="50"/>
      <c r="S601" s="26"/>
      <c r="T601" s="26"/>
      <c r="U601" s="26"/>
      <c r="V601" s="26"/>
      <c r="W601" s="26"/>
      <c r="X601" s="26"/>
      <c r="Y601" s="26"/>
      <c r="Z601" s="26"/>
      <c r="AA601" s="26"/>
      <c r="AB601" s="26"/>
      <c r="AC601" s="26"/>
      <c r="AD601" s="26"/>
      <c r="AE601" s="26"/>
      <c r="AF601" s="26"/>
      <c r="AG601" s="26"/>
      <c r="AH601" s="26"/>
      <c r="AI601" s="26"/>
      <c r="AJ601" s="26"/>
      <c r="AK601" s="26"/>
      <c r="AL601" s="26"/>
      <c r="AM601" s="26"/>
      <c r="AN601" s="26"/>
      <c r="AO601" s="26"/>
      <c r="AP601" s="26"/>
      <c r="AQ601" s="26"/>
      <c r="AR601" s="26"/>
      <c r="AS601" s="26"/>
      <c r="AT601" s="26"/>
      <c r="AU601" s="26"/>
      <c r="AV601" s="26"/>
      <c r="AW601" s="26"/>
      <c r="AX601" s="26"/>
      <c r="AY601" s="26"/>
    </row>
    <row r="602" spans="2:51">
      <c r="B602" s="31"/>
      <c r="C602" s="50"/>
      <c r="D602" s="50"/>
      <c r="S602" s="26"/>
      <c r="T602" s="26"/>
      <c r="U602" s="26"/>
      <c r="V602" s="26"/>
      <c r="W602" s="26"/>
      <c r="X602" s="26"/>
      <c r="Y602" s="26"/>
      <c r="Z602" s="26"/>
      <c r="AA602" s="26"/>
      <c r="AB602" s="26"/>
      <c r="AC602" s="26"/>
      <c r="AD602" s="26"/>
      <c r="AE602" s="26"/>
      <c r="AF602" s="26"/>
      <c r="AG602" s="26"/>
      <c r="AH602" s="26"/>
      <c r="AI602" s="26"/>
      <c r="AJ602" s="26"/>
      <c r="AK602" s="26"/>
      <c r="AL602" s="26"/>
      <c r="AM602" s="26"/>
      <c r="AN602" s="26"/>
      <c r="AO602" s="26"/>
      <c r="AP602" s="26"/>
      <c r="AQ602" s="26"/>
      <c r="AR602" s="26"/>
      <c r="AS602" s="26"/>
      <c r="AT602" s="26"/>
      <c r="AU602" s="26"/>
      <c r="AV602" s="26"/>
      <c r="AW602" s="26"/>
      <c r="AX602" s="26"/>
      <c r="AY602" s="26"/>
    </row>
    <row r="603" spans="2:51">
      <c r="B603" s="31"/>
      <c r="C603" s="50"/>
      <c r="D603" s="50"/>
      <c r="S603" s="26"/>
      <c r="T603" s="26"/>
      <c r="U603" s="26"/>
      <c r="V603" s="26"/>
      <c r="W603" s="26"/>
      <c r="X603" s="26"/>
      <c r="Y603" s="26"/>
      <c r="Z603" s="26"/>
      <c r="AA603" s="26"/>
      <c r="AB603" s="26"/>
      <c r="AC603" s="26"/>
      <c r="AD603" s="26"/>
      <c r="AE603" s="26"/>
      <c r="AF603" s="26"/>
      <c r="AG603" s="26"/>
      <c r="AH603" s="26"/>
      <c r="AI603" s="26"/>
      <c r="AJ603" s="26"/>
      <c r="AK603" s="26"/>
      <c r="AL603" s="26"/>
      <c r="AM603" s="26"/>
      <c r="AN603" s="26"/>
      <c r="AO603" s="26"/>
      <c r="AP603" s="26"/>
      <c r="AQ603" s="26"/>
      <c r="AR603" s="26"/>
      <c r="AS603" s="26"/>
      <c r="AT603" s="26"/>
      <c r="AU603" s="26"/>
      <c r="AV603" s="26"/>
      <c r="AW603" s="26"/>
      <c r="AX603" s="26"/>
      <c r="AY603" s="26"/>
    </row>
    <row r="604" spans="2:51">
      <c r="B604" s="31"/>
      <c r="C604" s="50"/>
      <c r="D604" s="50"/>
      <c r="S604" s="26"/>
      <c r="T604" s="26"/>
      <c r="U604" s="26"/>
      <c r="V604" s="26"/>
      <c r="W604" s="26"/>
      <c r="X604" s="26"/>
      <c r="Y604" s="26"/>
      <c r="Z604" s="26"/>
      <c r="AA604" s="26"/>
      <c r="AB604" s="26"/>
      <c r="AC604" s="26"/>
      <c r="AD604" s="26"/>
      <c r="AE604" s="26"/>
      <c r="AF604" s="26"/>
      <c r="AG604" s="26"/>
      <c r="AH604" s="26"/>
      <c r="AI604" s="26"/>
      <c r="AJ604" s="26"/>
      <c r="AK604" s="26"/>
      <c r="AL604" s="26"/>
      <c r="AM604" s="26"/>
      <c r="AN604" s="26"/>
      <c r="AO604" s="26"/>
      <c r="AP604" s="26"/>
      <c r="AQ604" s="26"/>
      <c r="AR604" s="26"/>
      <c r="AS604" s="26"/>
      <c r="AT604" s="26"/>
      <c r="AU604" s="26"/>
      <c r="AV604" s="26"/>
      <c r="AW604" s="26"/>
      <c r="AX604" s="26"/>
      <c r="AY604" s="26"/>
    </row>
    <row r="605" spans="2:51">
      <c r="B605" s="31"/>
      <c r="C605" s="50"/>
      <c r="D605" s="50"/>
      <c r="S605" s="26"/>
      <c r="T605" s="26"/>
      <c r="U605" s="26"/>
      <c r="V605" s="26"/>
      <c r="W605" s="26"/>
      <c r="X605" s="26"/>
      <c r="Y605" s="26"/>
      <c r="Z605" s="26"/>
      <c r="AA605" s="26"/>
      <c r="AB605" s="26"/>
      <c r="AC605" s="26"/>
      <c r="AD605" s="26"/>
      <c r="AE605" s="26"/>
      <c r="AF605" s="26"/>
      <c r="AG605" s="26"/>
      <c r="AH605" s="26"/>
      <c r="AI605" s="26"/>
      <c r="AJ605" s="26"/>
      <c r="AK605" s="26"/>
      <c r="AL605" s="26"/>
      <c r="AM605" s="26"/>
      <c r="AN605" s="26"/>
      <c r="AO605" s="26"/>
      <c r="AP605" s="26"/>
      <c r="AQ605" s="26"/>
      <c r="AR605" s="26"/>
      <c r="AS605" s="26"/>
      <c r="AT605" s="26"/>
      <c r="AU605" s="26"/>
      <c r="AV605" s="26"/>
      <c r="AW605" s="26"/>
      <c r="AX605" s="26"/>
      <c r="AY605" s="26"/>
    </row>
    <row r="606" spans="2:51">
      <c r="B606" s="31"/>
      <c r="C606" s="50"/>
      <c r="D606" s="50"/>
      <c r="S606" s="26"/>
      <c r="T606" s="26"/>
      <c r="U606" s="26"/>
      <c r="V606" s="26"/>
      <c r="W606" s="26"/>
      <c r="X606" s="26"/>
      <c r="Y606" s="26"/>
      <c r="Z606" s="26"/>
      <c r="AA606" s="26"/>
      <c r="AB606" s="26"/>
      <c r="AC606" s="26"/>
      <c r="AD606" s="26"/>
      <c r="AE606" s="26"/>
      <c r="AF606" s="26"/>
      <c r="AG606" s="26"/>
      <c r="AH606" s="26"/>
      <c r="AI606" s="26"/>
      <c r="AJ606" s="26"/>
      <c r="AK606" s="26"/>
      <c r="AL606" s="26"/>
      <c r="AM606" s="26"/>
      <c r="AN606" s="26"/>
      <c r="AO606" s="26"/>
      <c r="AP606" s="26"/>
      <c r="AQ606" s="26"/>
      <c r="AR606" s="26"/>
      <c r="AS606" s="26"/>
      <c r="AT606" s="26"/>
      <c r="AU606" s="26"/>
      <c r="AV606" s="26"/>
      <c r="AW606" s="26"/>
      <c r="AX606" s="26"/>
      <c r="AY606" s="26"/>
    </row>
    <row r="607" spans="2:51">
      <c r="B607" s="31"/>
      <c r="C607" s="50"/>
      <c r="D607" s="50"/>
      <c r="S607" s="26"/>
      <c r="T607" s="26"/>
      <c r="U607" s="26"/>
      <c r="V607" s="26"/>
      <c r="W607" s="26"/>
      <c r="X607" s="26"/>
      <c r="Y607" s="26"/>
      <c r="Z607" s="26"/>
      <c r="AA607" s="26"/>
      <c r="AB607" s="26"/>
      <c r="AC607" s="26"/>
      <c r="AD607" s="26"/>
      <c r="AE607" s="26"/>
      <c r="AF607" s="26"/>
      <c r="AG607" s="26"/>
      <c r="AH607" s="26"/>
      <c r="AI607" s="26"/>
      <c r="AJ607" s="26"/>
      <c r="AK607" s="26"/>
      <c r="AL607" s="26"/>
      <c r="AM607" s="26"/>
      <c r="AN607" s="26"/>
      <c r="AO607" s="26"/>
      <c r="AP607" s="26"/>
      <c r="AQ607" s="26"/>
      <c r="AR607" s="26"/>
      <c r="AS607" s="26"/>
      <c r="AT607" s="26"/>
      <c r="AU607" s="26"/>
      <c r="AV607" s="26"/>
      <c r="AW607" s="26"/>
      <c r="AX607" s="26"/>
      <c r="AY607" s="26"/>
    </row>
    <row r="608" spans="2:51">
      <c r="B608" s="31"/>
      <c r="C608" s="50"/>
      <c r="D608" s="50"/>
      <c r="S608" s="26"/>
      <c r="T608" s="26"/>
      <c r="U608" s="26"/>
      <c r="V608" s="26"/>
      <c r="W608" s="26"/>
      <c r="X608" s="26"/>
      <c r="Y608" s="26"/>
      <c r="Z608" s="26"/>
      <c r="AA608" s="26"/>
      <c r="AB608" s="26"/>
      <c r="AC608" s="26"/>
      <c r="AD608" s="26"/>
      <c r="AE608" s="26"/>
      <c r="AF608" s="26"/>
      <c r="AG608" s="26"/>
      <c r="AH608" s="26"/>
      <c r="AI608" s="26"/>
      <c r="AJ608" s="26"/>
      <c r="AK608" s="26"/>
      <c r="AL608" s="26"/>
      <c r="AM608" s="26"/>
      <c r="AN608" s="26"/>
      <c r="AO608" s="26"/>
      <c r="AP608" s="26"/>
      <c r="AQ608" s="26"/>
      <c r="AR608" s="26"/>
      <c r="AS608" s="26"/>
      <c r="AT608" s="26"/>
      <c r="AU608" s="26"/>
      <c r="AV608" s="26"/>
      <c r="AW608" s="26"/>
      <c r="AX608" s="26"/>
      <c r="AY608" s="26"/>
    </row>
    <row r="609" spans="2:51">
      <c r="B609" s="31"/>
      <c r="C609" s="50"/>
      <c r="D609" s="50"/>
      <c r="S609" s="26"/>
      <c r="T609" s="26"/>
      <c r="U609" s="26"/>
      <c r="V609" s="26"/>
      <c r="W609" s="26"/>
      <c r="X609" s="26"/>
      <c r="Y609" s="26"/>
      <c r="Z609" s="26"/>
      <c r="AA609" s="26"/>
      <c r="AB609" s="26"/>
      <c r="AC609" s="26"/>
      <c r="AD609" s="26"/>
      <c r="AE609" s="26"/>
      <c r="AF609" s="26"/>
      <c r="AG609" s="26"/>
      <c r="AH609" s="26"/>
      <c r="AI609" s="26"/>
      <c r="AJ609" s="26"/>
      <c r="AK609" s="26"/>
      <c r="AL609" s="26"/>
      <c r="AM609" s="26"/>
      <c r="AN609" s="26"/>
      <c r="AO609" s="26"/>
      <c r="AP609" s="26"/>
      <c r="AQ609" s="26"/>
      <c r="AR609" s="26"/>
      <c r="AS609" s="26"/>
      <c r="AT609" s="26"/>
      <c r="AU609" s="26"/>
      <c r="AV609" s="26"/>
      <c r="AW609" s="26"/>
      <c r="AX609" s="26"/>
      <c r="AY609" s="26"/>
    </row>
    <row r="610" spans="2:51">
      <c r="B610" s="31"/>
      <c r="C610" s="50"/>
      <c r="D610" s="50"/>
      <c r="S610" s="26"/>
      <c r="T610" s="26"/>
      <c r="U610" s="26"/>
      <c r="V610" s="26"/>
      <c r="W610" s="26"/>
      <c r="X610" s="26"/>
      <c r="Y610" s="26"/>
      <c r="Z610" s="26"/>
      <c r="AA610" s="26"/>
      <c r="AB610" s="26"/>
      <c r="AC610" s="26"/>
      <c r="AD610" s="26"/>
      <c r="AE610" s="26"/>
      <c r="AF610" s="26"/>
      <c r="AG610" s="26"/>
      <c r="AH610" s="26"/>
      <c r="AI610" s="26"/>
      <c r="AJ610" s="26"/>
      <c r="AK610" s="26"/>
      <c r="AL610" s="26"/>
      <c r="AM610" s="26"/>
      <c r="AN610" s="26"/>
      <c r="AO610" s="26"/>
      <c r="AP610" s="26"/>
      <c r="AQ610" s="26"/>
      <c r="AR610" s="26"/>
      <c r="AS610" s="26"/>
      <c r="AT610" s="26"/>
      <c r="AU610" s="26"/>
      <c r="AV610" s="26"/>
      <c r="AW610" s="26"/>
      <c r="AX610" s="26"/>
      <c r="AY610" s="26"/>
    </row>
    <row r="611" spans="2:51" ht="15.6">
      <c r="B611" s="31" t="s">
        <v>230</v>
      </c>
      <c r="C611" s="50"/>
      <c r="D611" s="50"/>
      <c r="S611" s="26"/>
      <c r="T611" s="26"/>
      <c r="U611" s="26"/>
      <c r="V611" s="26"/>
      <c r="W611" s="26"/>
      <c r="X611" s="26"/>
      <c r="Y611" s="26"/>
      <c r="Z611" s="26"/>
      <c r="AA611" s="26"/>
      <c r="AB611" s="26"/>
      <c r="AC611" s="26"/>
      <c r="AD611" s="26"/>
      <c r="AE611" s="26"/>
      <c r="AF611" s="26"/>
      <c r="AG611" s="26"/>
      <c r="AH611" s="26"/>
      <c r="AI611" s="26"/>
      <c r="AJ611" s="26"/>
      <c r="AK611" s="26"/>
      <c r="AL611" s="26"/>
      <c r="AM611" s="26"/>
      <c r="AN611" s="26"/>
      <c r="AO611" s="26"/>
      <c r="AP611" s="26"/>
      <c r="AQ611" s="26"/>
      <c r="AR611" s="26"/>
      <c r="AS611" s="26"/>
      <c r="AT611" s="26"/>
      <c r="AU611" s="26"/>
      <c r="AV611" s="26"/>
      <c r="AW611" s="26"/>
      <c r="AX611" s="26"/>
      <c r="AY611" s="26"/>
    </row>
    <row r="612" spans="2:51">
      <c r="C612" s="50"/>
      <c r="D612" s="50"/>
      <c r="S612" s="26"/>
      <c r="T612" s="26"/>
      <c r="U612" s="26"/>
      <c r="V612" s="26"/>
      <c r="W612" s="26"/>
      <c r="X612" s="26"/>
      <c r="Y612" s="26"/>
      <c r="Z612" s="26"/>
      <c r="AA612" s="26"/>
      <c r="AB612" s="26"/>
      <c r="AC612" s="26"/>
      <c r="AD612" s="26"/>
      <c r="AE612" s="26"/>
      <c r="AF612" s="26"/>
      <c r="AG612" s="26"/>
      <c r="AH612" s="26"/>
      <c r="AI612" s="26"/>
      <c r="AJ612" s="26"/>
      <c r="AK612" s="26"/>
      <c r="AL612" s="26"/>
      <c r="AM612" s="26"/>
      <c r="AN612" s="26"/>
      <c r="AO612" s="26"/>
      <c r="AP612" s="26"/>
      <c r="AQ612" s="26"/>
      <c r="AR612" s="26"/>
      <c r="AS612" s="26"/>
      <c r="AT612" s="26"/>
      <c r="AU612" s="26"/>
      <c r="AV612" s="26"/>
      <c r="AW612" s="26"/>
      <c r="AX612" s="26"/>
      <c r="AY612" s="26"/>
    </row>
    <row r="613" spans="2:51">
      <c r="B613" s="31"/>
      <c r="C613" s="50"/>
      <c r="D613" s="50"/>
      <c r="S613" s="26"/>
      <c r="T613" s="26"/>
      <c r="U613" s="26"/>
      <c r="V613" s="26"/>
      <c r="W613" s="26"/>
      <c r="X613" s="26"/>
      <c r="Y613" s="26"/>
      <c r="Z613" s="26"/>
      <c r="AA613" s="26"/>
      <c r="AB613" s="26"/>
      <c r="AC613" s="26"/>
      <c r="AD613" s="26"/>
      <c r="AE613" s="26"/>
      <c r="AF613" s="26"/>
      <c r="AG613" s="26"/>
      <c r="AH613" s="26"/>
      <c r="AI613" s="26"/>
      <c r="AJ613" s="26"/>
      <c r="AK613" s="26"/>
      <c r="AL613" s="26"/>
      <c r="AM613" s="26"/>
      <c r="AN613" s="26"/>
      <c r="AO613" s="26"/>
      <c r="AP613" s="26"/>
      <c r="AQ613" s="26"/>
      <c r="AR613" s="26"/>
      <c r="AS613" s="26"/>
      <c r="AT613" s="26"/>
      <c r="AU613" s="26"/>
      <c r="AV613" s="26"/>
      <c r="AW613" s="26"/>
      <c r="AX613" s="26"/>
      <c r="AY613" s="26"/>
    </row>
    <row r="614" spans="2:51">
      <c r="B614" s="31"/>
      <c r="C614" s="50"/>
      <c r="D614" s="50"/>
      <c r="S614" s="26"/>
      <c r="T614" s="26"/>
      <c r="U614" s="26"/>
      <c r="V614" s="26"/>
      <c r="W614" s="26"/>
      <c r="X614" s="26"/>
      <c r="Y614" s="26"/>
      <c r="Z614" s="26"/>
      <c r="AA614" s="26"/>
      <c r="AB614" s="26"/>
      <c r="AC614" s="26"/>
      <c r="AD614" s="26"/>
      <c r="AE614" s="26"/>
      <c r="AF614" s="26"/>
      <c r="AG614" s="26"/>
      <c r="AH614" s="26"/>
      <c r="AI614" s="26"/>
      <c r="AJ614" s="26"/>
      <c r="AK614" s="26"/>
      <c r="AL614" s="26"/>
      <c r="AM614" s="26"/>
      <c r="AN614" s="26"/>
      <c r="AO614" s="26"/>
      <c r="AP614" s="26"/>
      <c r="AQ614" s="26"/>
      <c r="AR614" s="26"/>
      <c r="AS614" s="26"/>
      <c r="AT614" s="26"/>
      <c r="AU614" s="26"/>
      <c r="AV614" s="26"/>
      <c r="AW614" s="26"/>
      <c r="AX614" s="26"/>
      <c r="AY614" s="26"/>
    </row>
    <row r="615" spans="2:51">
      <c r="B615" s="31"/>
      <c r="C615" s="50"/>
      <c r="D615" s="50"/>
      <c r="S615" s="26"/>
      <c r="T615" s="26"/>
      <c r="U615" s="26"/>
      <c r="V615" s="26"/>
      <c r="W615" s="26"/>
      <c r="X615" s="26"/>
      <c r="Y615" s="26"/>
      <c r="Z615" s="26"/>
      <c r="AA615" s="26"/>
      <c r="AB615" s="26"/>
      <c r="AC615" s="26"/>
      <c r="AD615" s="26"/>
      <c r="AE615" s="26"/>
      <c r="AF615" s="26"/>
      <c r="AG615" s="26"/>
      <c r="AH615" s="26"/>
      <c r="AI615" s="26"/>
      <c r="AJ615" s="26"/>
      <c r="AK615" s="26"/>
      <c r="AL615" s="26"/>
      <c r="AM615" s="26"/>
      <c r="AN615" s="26"/>
      <c r="AO615" s="26"/>
      <c r="AP615" s="26"/>
      <c r="AQ615" s="26"/>
      <c r="AR615" s="26"/>
      <c r="AS615" s="26"/>
      <c r="AT615" s="26"/>
      <c r="AU615" s="26"/>
      <c r="AV615" s="26"/>
      <c r="AW615" s="26"/>
      <c r="AX615" s="26"/>
      <c r="AY615" s="26"/>
    </row>
    <row r="616" spans="2:51">
      <c r="B616" s="31"/>
      <c r="C616" s="50"/>
      <c r="D616" s="50"/>
      <c r="S616" s="26"/>
      <c r="T616" s="26"/>
      <c r="U616" s="26"/>
      <c r="V616" s="26"/>
      <c r="W616" s="26"/>
      <c r="X616" s="26"/>
      <c r="Y616" s="26"/>
      <c r="Z616" s="26"/>
      <c r="AA616" s="26"/>
      <c r="AB616" s="26"/>
      <c r="AC616" s="26"/>
      <c r="AD616" s="26"/>
      <c r="AE616" s="26"/>
      <c r="AF616" s="26"/>
      <c r="AG616" s="26"/>
      <c r="AH616" s="26"/>
      <c r="AI616" s="26"/>
      <c r="AJ616" s="26"/>
      <c r="AK616" s="26"/>
      <c r="AL616" s="26"/>
      <c r="AM616" s="26"/>
      <c r="AN616" s="26"/>
      <c r="AO616" s="26"/>
      <c r="AP616" s="26"/>
      <c r="AQ616" s="26"/>
      <c r="AR616" s="26"/>
      <c r="AS616" s="26"/>
      <c r="AT616" s="26"/>
      <c r="AU616" s="26"/>
      <c r="AV616" s="26"/>
      <c r="AW616" s="26"/>
      <c r="AX616" s="26"/>
      <c r="AY616" s="26"/>
    </row>
    <row r="617" spans="2:51">
      <c r="B617" s="31"/>
      <c r="C617" s="50"/>
      <c r="D617" s="50"/>
      <c r="S617" s="26"/>
      <c r="T617" s="26"/>
      <c r="U617" s="26"/>
      <c r="V617" s="26"/>
      <c r="W617" s="26"/>
      <c r="X617" s="26"/>
      <c r="Y617" s="26"/>
      <c r="Z617" s="26"/>
      <c r="AA617" s="26"/>
      <c r="AB617" s="26"/>
      <c r="AC617" s="26"/>
      <c r="AD617" s="26"/>
      <c r="AE617" s="26"/>
      <c r="AF617" s="26"/>
      <c r="AG617" s="26"/>
      <c r="AH617" s="26"/>
      <c r="AI617" s="26"/>
      <c r="AJ617" s="26"/>
      <c r="AK617" s="26"/>
      <c r="AL617" s="26"/>
      <c r="AM617" s="26"/>
      <c r="AN617" s="26"/>
      <c r="AO617" s="26"/>
      <c r="AP617" s="26"/>
      <c r="AQ617" s="26"/>
      <c r="AR617" s="26"/>
      <c r="AS617" s="26"/>
      <c r="AT617" s="26"/>
      <c r="AU617" s="26"/>
      <c r="AV617" s="26"/>
      <c r="AW617" s="26"/>
      <c r="AX617" s="26"/>
      <c r="AY617" s="26"/>
    </row>
    <row r="618" spans="2:51">
      <c r="B618" s="31"/>
      <c r="C618" s="50"/>
      <c r="D618" s="50"/>
      <c r="S618" s="26"/>
      <c r="T618" s="26"/>
      <c r="U618" s="26"/>
      <c r="V618" s="26"/>
      <c r="W618" s="26"/>
      <c r="X618" s="26"/>
      <c r="Y618" s="26"/>
      <c r="Z618" s="26"/>
      <c r="AA618" s="26"/>
      <c r="AB618" s="26"/>
      <c r="AC618" s="26"/>
      <c r="AD618" s="26"/>
      <c r="AE618" s="26"/>
      <c r="AF618" s="26"/>
      <c r="AG618" s="26"/>
      <c r="AH618" s="26"/>
      <c r="AI618" s="26"/>
      <c r="AJ618" s="26"/>
      <c r="AK618" s="26"/>
      <c r="AL618" s="26"/>
      <c r="AM618" s="26"/>
      <c r="AN618" s="26"/>
      <c r="AO618" s="26"/>
      <c r="AP618" s="26"/>
      <c r="AQ618" s="26"/>
      <c r="AR618" s="26"/>
      <c r="AS618" s="26"/>
      <c r="AT618" s="26"/>
      <c r="AU618" s="26"/>
      <c r="AV618" s="26"/>
      <c r="AW618" s="26"/>
      <c r="AX618" s="26"/>
      <c r="AY618" s="26"/>
    </row>
    <row r="619" spans="2:51">
      <c r="B619" s="31"/>
      <c r="C619" s="50"/>
      <c r="D619" s="50"/>
      <c r="S619" s="26"/>
      <c r="T619" s="26"/>
      <c r="U619" s="26"/>
      <c r="V619" s="26"/>
      <c r="W619" s="26"/>
      <c r="X619" s="26"/>
      <c r="Y619" s="26"/>
      <c r="Z619" s="26"/>
      <c r="AA619" s="26"/>
      <c r="AB619" s="26"/>
      <c r="AC619" s="26"/>
      <c r="AD619" s="26"/>
      <c r="AE619" s="26"/>
      <c r="AF619" s="26"/>
      <c r="AG619" s="26"/>
      <c r="AH619" s="26"/>
      <c r="AI619" s="26"/>
      <c r="AJ619" s="26"/>
      <c r="AK619" s="26"/>
      <c r="AL619" s="26"/>
      <c r="AM619" s="26"/>
      <c r="AN619" s="26"/>
      <c r="AO619" s="26"/>
      <c r="AP619" s="26"/>
      <c r="AQ619" s="26"/>
      <c r="AR619" s="26"/>
      <c r="AS619" s="26"/>
      <c r="AT619" s="26"/>
      <c r="AU619" s="26"/>
      <c r="AV619" s="26"/>
      <c r="AW619" s="26"/>
      <c r="AX619" s="26"/>
      <c r="AY619" s="26"/>
    </row>
    <row r="620" spans="2:51">
      <c r="B620" s="31"/>
      <c r="C620" s="50"/>
      <c r="D620" s="50"/>
      <c r="S620" s="26"/>
      <c r="T620" s="26"/>
      <c r="U620" s="26"/>
      <c r="V620" s="26"/>
      <c r="W620" s="26"/>
      <c r="X620" s="26"/>
      <c r="Y620" s="26"/>
      <c r="Z620" s="26"/>
      <c r="AA620" s="26"/>
      <c r="AB620" s="26"/>
      <c r="AC620" s="26"/>
      <c r="AD620" s="26"/>
      <c r="AE620" s="26"/>
      <c r="AF620" s="26"/>
      <c r="AG620" s="26"/>
      <c r="AH620" s="26"/>
      <c r="AI620" s="26"/>
      <c r="AJ620" s="26"/>
      <c r="AK620" s="26"/>
      <c r="AL620" s="26"/>
      <c r="AM620" s="26"/>
      <c r="AN620" s="26"/>
      <c r="AO620" s="26"/>
      <c r="AP620" s="26"/>
      <c r="AQ620" s="26"/>
      <c r="AR620" s="26"/>
      <c r="AS620" s="26"/>
      <c r="AT620" s="26"/>
      <c r="AU620" s="26"/>
      <c r="AV620" s="26"/>
      <c r="AW620" s="26"/>
      <c r="AX620" s="26"/>
      <c r="AY620" s="26"/>
    </row>
    <row r="621" spans="2:51">
      <c r="B621" s="31"/>
      <c r="C621" s="50"/>
      <c r="D621" s="50"/>
      <c r="S621" s="26"/>
      <c r="T621" s="26"/>
      <c r="U621" s="26"/>
      <c r="V621" s="26"/>
      <c r="W621" s="26"/>
      <c r="X621" s="26"/>
      <c r="Y621" s="26"/>
      <c r="Z621" s="26"/>
      <c r="AA621" s="26"/>
      <c r="AB621" s="26"/>
      <c r="AC621" s="26"/>
      <c r="AD621" s="26"/>
      <c r="AE621" s="26"/>
      <c r="AF621" s="26"/>
      <c r="AG621" s="26"/>
      <c r="AH621" s="26"/>
      <c r="AI621" s="26"/>
      <c r="AJ621" s="26"/>
      <c r="AK621" s="26"/>
      <c r="AL621" s="26"/>
      <c r="AM621" s="26"/>
      <c r="AN621" s="26"/>
      <c r="AO621" s="26"/>
      <c r="AP621" s="26"/>
      <c r="AQ621" s="26"/>
      <c r="AR621" s="26"/>
      <c r="AS621" s="26"/>
      <c r="AT621" s="26"/>
      <c r="AU621" s="26"/>
      <c r="AV621" s="26"/>
      <c r="AW621" s="26"/>
      <c r="AX621" s="26"/>
      <c r="AY621" s="26"/>
    </row>
    <row r="622" spans="2:51">
      <c r="B622" s="31"/>
      <c r="C622" s="50"/>
      <c r="D622" s="50"/>
      <c r="S622" s="26"/>
      <c r="T622" s="26"/>
      <c r="U622" s="26"/>
      <c r="V622" s="26"/>
      <c r="W622" s="26"/>
      <c r="X622" s="26"/>
      <c r="Y622" s="26"/>
      <c r="Z622" s="26"/>
      <c r="AA622" s="26"/>
      <c r="AB622" s="26"/>
      <c r="AC622" s="26"/>
      <c r="AD622" s="26"/>
      <c r="AE622" s="26"/>
      <c r="AF622" s="26"/>
      <c r="AG622" s="26"/>
      <c r="AH622" s="26"/>
      <c r="AI622" s="26"/>
      <c r="AJ622" s="26"/>
      <c r="AK622" s="26"/>
      <c r="AL622" s="26"/>
      <c r="AM622" s="26"/>
      <c r="AN622" s="26"/>
      <c r="AO622" s="26"/>
      <c r="AP622" s="26"/>
      <c r="AQ622" s="26"/>
      <c r="AR622" s="26"/>
      <c r="AS622" s="26"/>
      <c r="AT622" s="26"/>
      <c r="AU622" s="26"/>
      <c r="AV622" s="26"/>
      <c r="AW622" s="26"/>
      <c r="AX622" s="26"/>
      <c r="AY622" s="26"/>
    </row>
    <row r="623" spans="2:51">
      <c r="B623" s="31"/>
      <c r="C623" s="50"/>
      <c r="D623" s="50"/>
      <c r="S623" s="26"/>
      <c r="T623" s="26"/>
      <c r="U623" s="26"/>
      <c r="V623" s="26"/>
      <c r="W623" s="26"/>
      <c r="X623" s="26"/>
      <c r="Y623" s="26"/>
      <c r="Z623" s="26"/>
      <c r="AA623" s="26"/>
      <c r="AB623" s="26"/>
      <c r="AC623" s="26"/>
      <c r="AD623" s="26"/>
      <c r="AE623" s="26"/>
      <c r="AF623" s="26"/>
      <c r="AG623" s="26"/>
      <c r="AH623" s="26"/>
      <c r="AI623" s="26"/>
      <c r="AJ623" s="26"/>
      <c r="AK623" s="26"/>
      <c r="AL623" s="26"/>
      <c r="AM623" s="26"/>
      <c r="AN623" s="26"/>
      <c r="AO623" s="26"/>
      <c r="AP623" s="26"/>
      <c r="AQ623" s="26"/>
      <c r="AR623" s="26"/>
      <c r="AS623" s="26"/>
      <c r="AT623" s="26"/>
      <c r="AU623" s="26"/>
      <c r="AV623" s="26"/>
      <c r="AW623" s="26"/>
      <c r="AX623" s="26"/>
      <c r="AY623" s="26"/>
    </row>
    <row r="624" spans="2:51">
      <c r="B624" s="31"/>
      <c r="C624" s="50"/>
      <c r="D624" s="50"/>
      <c r="S624" s="26"/>
      <c r="T624" s="26"/>
      <c r="U624" s="26"/>
      <c r="V624" s="26"/>
      <c r="W624" s="26"/>
      <c r="X624" s="26"/>
      <c r="Y624" s="26"/>
      <c r="Z624" s="26"/>
      <c r="AA624" s="26"/>
      <c r="AB624" s="26"/>
      <c r="AC624" s="26"/>
      <c r="AD624" s="26"/>
      <c r="AE624" s="26"/>
      <c r="AF624" s="26"/>
      <c r="AG624" s="26"/>
      <c r="AH624" s="26"/>
      <c r="AI624" s="26"/>
      <c r="AJ624" s="26"/>
      <c r="AK624" s="26"/>
      <c r="AL624" s="26"/>
      <c r="AM624" s="26"/>
      <c r="AN624" s="26"/>
      <c r="AO624" s="26"/>
      <c r="AP624" s="26"/>
      <c r="AQ624" s="26"/>
      <c r="AR624" s="26"/>
      <c r="AS624" s="26"/>
      <c r="AT624" s="26"/>
      <c r="AU624" s="26"/>
      <c r="AV624" s="26"/>
      <c r="AW624" s="26"/>
      <c r="AX624" s="26"/>
      <c r="AY624" s="26"/>
    </row>
    <row r="625" spans="2:51">
      <c r="B625" s="31"/>
      <c r="C625" s="50"/>
      <c r="D625" s="50"/>
      <c r="S625" s="26"/>
      <c r="T625" s="26"/>
      <c r="U625" s="26"/>
      <c r="V625" s="26"/>
      <c r="W625" s="26"/>
      <c r="X625" s="26"/>
      <c r="Y625" s="26"/>
      <c r="Z625" s="26"/>
      <c r="AA625" s="26"/>
      <c r="AB625" s="26"/>
      <c r="AC625" s="26"/>
      <c r="AD625" s="26"/>
      <c r="AE625" s="26"/>
      <c r="AF625" s="26"/>
      <c r="AG625" s="26"/>
      <c r="AH625" s="26"/>
      <c r="AI625" s="26"/>
      <c r="AJ625" s="26"/>
      <c r="AK625" s="26"/>
      <c r="AL625" s="26"/>
      <c r="AM625" s="26"/>
      <c r="AN625" s="26"/>
      <c r="AO625" s="26"/>
      <c r="AP625" s="26"/>
      <c r="AQ625" s="26"/>
      <c r="AR625" s="26"/>
      <c r="AS625" s="26"/>
      <c r="AT625" s="26"/>
      <c r="AU625" s="26"/>
      <c r="AV625" s="26"/>
      <c r="AW625" s="26"/>
      <c r="AX625" s="26"/>
      <c r="AY625" s="26"/>
    </row>
    <row r="626" spans="2:51">
      <c r="B626" s="31"/>
      <c r="C626" s="50"/>
      <c r="D626" s="50"/>
      <c r="S626" s="26"/>
      <c r="T626" s="26"/>
      <c r="U626" s="26"/>
      <c r="V626" s="26"/>
      <c r="W626" s="26"/>
      <c r="X626" s="26"/>
      <c r="Y626" s="26"/>
      <c r="Z626" s="26"/>
      <c r="AA626" s="26"/>
      <c r="AB626" s="26"/>
      <c r="AC626" s="26"/>
      <c r="AD626" s="26"/>
      <c r="AE626" s="26"/>
      <c r="AF626" s="26"/>
      <c r="AG626" s="26"/>
      <c r="AH626" s="26"/>
      <c r="AI626" s="26"/>
      <c r="AJ626" s="26"/>
      <c r="AK626" s="26"/>
      <c r="AL626" s="26"/>
      <c r="AM626" s="26"/>
      <c r="AN626" s="26"/>
      <c r="AO626" s="26"/>
      <c r="AP626" s="26"/>
      <c r="AQ626" s="26"/>
      <c r="AR626" s="26"/>
      <c r="AS626" s="26"/>
      <c r="AT626" s="26"/>
      <c r="AU626" s="26"/>
      <c r="AV626" s="26"/>
      <c r="AW626" s="26"/>
      <c r="AX626" s="26"/>
      <c r="AY626" s="26"/>
    </row>
    <row r="627" spans="2:51">
      <c r="B627" s="31"/>
      <c r="C627" s="50"/>
      <c r="D627" s="50"/>
      <c r="S627" s="26"/>
      <c r="T627" s="26"/>
      <c r="U627" s="26"/>
      <c r="V627" s="26"/>
      <c r="W627" s="26"/>
      <c r="X627" s="26"/>
      <c r="Y627" s="26"/>
      <c r="Z627" s="26"/>
      <c r="AA627" s="26"/>
      <c r="AB627" s="26"/>
      <c r="AC627" s="26"/>
      <c r="AD627" s="26"/>
      <c r="AE627" s="26"/>
      <c r="AF627" s="26"/>
      <c r="AG627" s="26"/>
      <c r="AH627" s="26"/>
      <c r="AI627" s="26"/>
      <c r="AJ627" s="26"/>
      <c r="AK627" s="26"/>
      <c r="AL627" s="26"/>
      <c r="AM627" s="26"/>
      <c r="AN627" s="26"/>
      <c r="AO627" s="26"/>
      <c r="AP627" s="26"/>
      <c r="AQ627" s="26"/>
      <c r="AR627" s="26"/>
      <c r="AS627" s="26"/>
      <c r="AT627" s="26"/>
      <c r="AU627" s="26"/>
      <c r="AV627" s="26"/>
      <c r="AW627" s="26"/>
      <c r="AX627" s="26"/>
      <c r="AY627" s="26"/>
    </row>
    <row r="628" spans="2:51">
      <c r="B628" s="31"/>
      <c r="C628" s="50"/>
      <c r="D628" s="50"/>
      <c r="S628" s="26"/>
      <c r="T628" s="26"/>
      <c r="U628" s="26"/>
      <c r="V628" s="26"/>
      <c r="W628" s="26"/>
      <c r="X628" s="26"/>
      <c r="Y628" s="26"/>
      <c r="Z628" s="26"/>
      <c r="AA628" s="26"/>
      <c r="AB628" s="26"/>
      <c r="AC628" s="26"/>
      <c r="AD628" s="26"/>
      <c r="AE628" s="26"/>
      <c r="AF628" s="26"/>
      <c r="AG628" s="26"/>
      <c r="AH628" s="26"/>
      <c r="AI628" s="26"/>
      <c r="AJ628" s="26"/>
      <c r="AK628" s="26"/>
      <c r="AL628" s="26"/>
      <c r="AM628" s="26"/>
      <c r="AN628" s="26"/>
      <c r="AO628" s="26"/>
      <c r="AP628" s="26"/>
      <c r="AQ628" s="26"/>
      <c r="AR628" s="26"/>
      <c r="AS628" s="26"/>
      <c r="AT628" s="26"/>
      <c r="AU628" s="26"/>
      <c r="AV628" s="26"/>
      <c r="AW628" s="26"/>
      <c r="AX628" s="26"/>
      <c r="AY628" s="26"/>
    </row>
    <row r="629" spans="2:51">
      <c r="B629" s="31"/>
      <c r="C629" s="50"/>
      <c r="D629" s="50"/>
      <c r="S629" s="26"/>
      <c r="T629" s="26"/>
      <c r="U629" s="26"/>
      <c r="V629" s="26"/>
      <c r="W629" s="26"/>
      <c r="X629" s="26"/>
      <c r="Y629" s="26"/>
      <c r="Z629" s="26"/>
      <c r="AA629" s="26"/>
      <c r="AB629" s="26"/>
      <c r="AC629" s="26"/>
      <c r="AD629" s="26"/>
      <c r="AE629" s="26"/>
      <c r="AF629" s="26"/>
      <c r="AG629" s="26"/>
      <c r="AH629" s="26"/>
      <c r="AI629" s="26"/>
      <c r="AJ629" s="26"/>
      <c r="AK629" s="26"/>
      <c r="AL629" s="26"/>
      <c r="AM629" s="26"/>
      <c r="AN629" s="26"/>
      <c r="AO629" s="26"/>
      <c r="AP629" s="26"/>
      <c r="AQ629" s="26"/>
      <c r="AR629" s="26"/>
      <c r="AS629" s="26"/>
      <c r="AT629" s="26"/>
      <c r="AU629" s="26"/>
      <c r="AV629" s="26"/>
      <c r="AW629" s="26"/>
      <c r="AX629" s="26"/>
      <c r="AY629" s="26"/>
    </row>
    <row r="630" spans="2:51">
      <c r="B630" s="31"/>
      <c r="C630" s="50"/>
      <c r="D630" s="50"/>
      <c r="S630" s="26"/>
      <c r="T630" s="26"/>
      <c r="U630" s="26"/>
      <c r="V630" s="26"/>
      <c r="W630" s="26"/>
      <c r="X630" s="26"/>
      <c r="Y630" s="26"/>
      <c r="Z630" s="26"/>
      <c r="AA630" s="26"/>
      <c r="AB630" s="26"/>
      <c r="AC630" s="26"/>
      <c r="AD630" s="26"/>
      <c r="AE630" s="26"/>
      <c r="AF630" s="26"/>
      <c r="AG630" s="26"/>
      <c r="AH630" s="26"/>
      <c r="AI630" s="26"/>
      <c r="AJ630" s="26"/>
      <c r="AK630" s="26"/>
      <c r="AL630" s="26"/>
      <c r="AM630" s="26"/>
      <c r="AN630" s="26"/>
      <c r="AO630" s="26"/>
      <c r="AP630" s="26"/>
      <c r="AQ630" s="26"/>
      <c r="AR630" s="26"/>
      <c r="AS630" s="26"/>
      <c r="AT630" s="26"/>
      <c r="AU630" s="26"/>
      <c r="AV630" s="26"/>
      <c r="AW630" s="26"/>
      <c r="AX630" s="26"/>
      <c r="AY630" s="26"/>
    </row>
    <row r="631" spans="2:51">
      <c r="B631" s="31"/>
      <c r="C631" s="50"/>
      <c r="D631" s="50"/>
      <c r="S631" s="26"/>
      <c r="T631" s="26"/>
      <c r="U631" s="26"/>
      <c r="V631" s="26"/>
      <c r="W631" s="26"/>
      <c r="X631" s="26"/>
      <c r="Y631" s="26"/>
      <c r="Z631" s="26"/>
      <c r="AA631" s="26"/>
      <c r="AB631" s="26"/>
      <c r="AC631" s="26"/>
      <c r="AD631" s="26"/>
      <c r="AE631" s="26"/>
      <c r="AF631" s="26"/>
      <c r="AG631" s="26"/>
      <c r="AH631" s="26"/>
      <c r="AI631" s="26"/>
      <c r="AJ631" s="26"/>
      <c r="AK631" s="26"/>
      <c r="AL631" s="26"/>
      <c r="AM631" s="26"/>
      <c r="AN631" s="26"/>
      <c r="AO631" s="26"/>
      <c r="AP631" s="26"/>
      <c r="AQ631" s="26"/>
      <c r="AR631" s="26"/>
      <c r="AS631" s="26"/>
      <c r="AT631" s="26"/>
      <c r="AU631" s="26"/>
      <c r="AV631" s="26"/>
      <c r="AW631" s="26"/>
      <c r="AX631" s="26"/>
      <c r="AY631" s="26"/>
    </row>
    <row r="632" spans="2:51">
      <c r="B632" s="31"/>
      <c r="C632" s="50"/>
      <c r="D632" s="50"/>
      <c r="S632" s="26"/>
      <c r="T632" s="26"/>
      <c r="U632" s="26"/>
      <c r="V632" s="26"/>
      <c r="W632" s="26"/>
      <c r="X632" s="26"/>
      <c r="Y632" s="26"/>
      <c r="Z632" s="26"/>
      <c r="AA632" s="26"/>
      <c r="AB632" s="26"/>
      <c r="AC632" s="26"/>
      <c r="AD632" s="26"/>
      <c r="AE632" s="26"/>
      <c r="AF632" s="26"/>
      <c r="AG632" s="26"/>
      <c r="AH632" s="26"/>
      <c r="AI632" s="26"/>
      <c r="AJ632" s="26"/>
      <c r="AK632" s="26"/>
      <c r="AL632" s="26"/>
      <c r="AM632" s="26"/>
      <c r="AN632" s="26"/>
      <c r="AO632" s="26"/>
      <c r="AP632" s="26"/>
      <c r="AQ632" s="26"/>
      <c r="AR632" s="26"/>
      <c r="AS632" s="26"/>
      <c r="AT632" s="26"/>
      <c r="AU632" s="26"/>
      <c r="AV632" s="26"/>
      <c r="AW632" s="26"/>
      <c r="AX632" s="26"/>
      <c r="AY632" s="26"/>
    </row>
    <row r="633" spans="2:51">
      <c r="B633" s="31"/>
      <c r="C633" s="50"/>
      <c r="D633" s="50"/>
      <c r="S633" s="26"/>
      <c r="T633" s="26"/>
      <c r="U633" s="26"/>
      <c r="V633" s="26"/>
      <c r="W633" s="26"/>
      <c r="X633" s="26"/>
      <c r="Y633" s="26"/>
      <c r="Z633" s="26"/>
      <c r="AA633" s="26"/>
      <c r="AB633" s="26"/>
      <c r="AC633" s="26"/>
      <c r="AD633" s="26"/>
      <c r="AE633" s="26"/>
      <c r="AF633" s="26"/>
      <c r="AG633" s="26"/>
      <c r="AH633" s="26"/>
      <c r="AI633" s="26"/>
      <c r="AJ633" s="26"/>
      <c r="AK633" s="26"/>
      <c r="AL633" s="26"/>
      <c r="AM633" s="26"/>
      <c r="AN633" s="26"/>
      <c r="AO633" s="26"/>
      <c r="AP633" s="26"/>
      <c r="AQ633" s="26"/>
      <c r="AR633" s="26"/>
      <c r="AS633" s="26"/>
      <c r="AT633" s="26"/>
      <c r="AU633" s="26"/>
      <c r="AV633" s="26"/>
      <c r="AW633" s="26"/>
      <c r="AX633" s="26"/>
      <c r="AY633" s="26"/>
    </row>
    <row r="634" spans="2:51">
      <c r="B634" s="31"/>
      <c r="C634" s="50"/>
      <c r="D634" s="50"/>
      <c r="S634" s="26"/>
      <c r="T634" s="26"/>
      <c r="U634" s="26"/>
      <c r="V634" s="26"/>
      <c r="W634" s="26"/>
      <c r="X634" s="26"/>
      <c r="Y634" s="26"/>
      <c r="Z634" s="26"/>
      <c r="AA634" s="26"/>
      <c r="AB634" s="26"/>
      <c r="AC634" s="26"/>
      <c r="AD634" s="26"/>
      <c r="AE634" s="26"/>
      <c r="AF634" s="26"/>
      <c r="AG634" s="26"/>
      <c r="AH634" s="26"/>
      <c r="AI634" s="26"/>
      <c r="AJ634" s="26"/>
      <c r="AK634" s="26"/>
      <c r="AL634" s="26"/>
      <c r="AM634" s="26"/>
      <c r="AN634" s="26"/>
      <c r="AO634" s="26"/>
      <c r="AP634" s="26"/>
      <c r="AQ634" s="26"/>
      <c r="AR634" s="26"/>
      <c r="AS634" s="26"/>
      <c r="AT634" s="26"/>
      <c r="AU634" s="26"/>
      <c r="AV634" s="26"/>
      <c r="AW634" s="26"/>
      <c r="AX634" s="26"/>
      <c r="AY634" s="26"/>
    </row>
    <row r="635" spans="2:51">
      <c r="B635" s="31"/>
      <c r="C635" s="50"/>
      <c r="D635" s="50"/>
      <c r="S635" s="26"/>
      <c r="T635" s="26"/>
      <c r="U635" s="26"/>
      <c r="V635" s="26"/>
      <c r="W635" s="26"/>
      <c r="X635" s="26"/>
      <c r="Y635" s="26"/>
      <c r="Z635" s="26"/>
      <c r="AA635" s="26"/>
      <c r="AB635" s="26"/>
      <c r="AC635" s="26"/>
      <c r="AD635" s="26"/>
      <c r="AE635" s="26"/>
      <c r="AF635" s="26"/>
      <c r="AG635" s="26"/>
      <c r="AH635" s="26"/>
      <c r="AI635" s="26"/>
      <c r="AJ635" s="26"/>
      <c r="AK635" s="26"/>
      <c r="AL635" s="26"/>
      <c r="AM635" s="26"/>
      <c r="AN635" s="26"/>
      <c r="AO635" s="26"/>
      <c r="AP635" s="26"/>
      <c r="AQ635" s="26"/>
      <c r="AR635" s="26"/>
      <c r="AS635" s="26"/>
      <c r="AT635" s="26"/>
      <c r="AU635" s="26"/>
      <c r="AV635" s="26"/>
      <c r="AW635" s="26"/>
      <c r="AX635" s="26"/>
      <c r="AY635" s="26"/>
    </row>
    <row r="636" spans="2:51">
      <c r="B636" s="31"/>
      <c r="C636" s="50"/>
      <c r="D636" s="50"/>
      <c r="S636" s="26"/>
      <c r="T636" s="26"/>
      <c r="U636" s="26"/>
      <c r="V636" s="26"/>
      <c r="W636" s="26"/>
      <c r="X636" s="26"/>
      <c r="Y636" s="26"/>
      <c r="Z636" s="26"/>
      <c r="AA636" s="26"/>
      <c r="AB636" s="26"/>
      <c r="AC636" s="26"/>
      <c r="AD636" s="26"/>
      <c r="AE636" s="26"/>
      <c r="AF636" s="26"/>
      <c r="AG636" s="26"/>
      <c r="AH636" s="26"/>
      <c r="AI636" s="26"/>
      <c r="AJ636" s="26"/>
      <c r="AK636" s="26"/>
      <c r="AL636" s="26"/>
      <c r="AM636" s="26"/>
      <c r="AN636" s="26"/>
      <c r="AO636" s="26"/>
      <c r="AP636" s="26"/>
      <c r="AQ636" s="26"/>
      <c r="AR636" s="26"/>
      <c r="AS636" s="26"/>
      <c r="AT636" s="26"/>
      <c r="AU636" s="26"/>
      <c r="AV636" s="26"/>
      <c r="AW636" s="26"/>
      <c r="AX636" s="26"/>
      <c r="AY636" s="26"/>
    </row>
    <row r="637" spans="2:51">
      <c r="B637" s="31"/>
      <c r="C637" s="50"/>
      <c r="D637" s="50"/>
      <c r="S637" s="26"/>
      <c r="T637" s="26"/>
      <c r="U637" s="26"/>
      <c r="V637" s="26"/>
      <c r="W637" s="26"/>
      <c r="X637" s="26"/>
      <c r="Y637" s="26"/>
      <c r="Z637" s="26"/>
      <c r="AA637" s="26"/>
      <c r="AB637" s="26"/>
      <c r="AC637" s="26"/>
      <c r="AD637" s="26"/>
      <c r="AE637" s="26"/>
      <c r="AF637" s="26"/>
      <c r="AG637" s="26"/>
      <c r="AH637" s="26"/>
      <c r="AI637" s="26"/>
      <c r="AJ637" s="26"/>
      <c r="AK637" s="26"/>
      <c r="AL637" s="26"/>
      <c r="AM637" s="26"/>
      <c r="AN637" s="26"/>
      <c r="AO637" s="26"/>
      <c r="AP637" s="26"/>
      <c r="AQ637" s="26"/>
      <c r="AR637" s="26"/>
      <c r="AS637" s="26"/>
      <c r="AT637" s="26"/>
      <c r="AU637" s="26"/>
      <c r="AV637" s="26"/>
      <c r="AW637" s="26"/>
      <c r="AX637" s="26"/>
      <c r="AY637" s="26"/>
    </row>
    <row r="638" spans="2:51">
      <c r="B638" s="31"/>
      <c r="C638" s="50"/>
      <c r="D638" s="50"/>
      <c r="S638" s="26"/>
      <c r="T638" s="26"/>
      <c r="U638" s="26"/>
      <c r="V638" s="26"/>
      <c r="W638" s="26"/>
      <c r="X638" s="26"/>
      <c r="Y638" s="26"/>
      <c r="Z638" s="26"/>
      <c r="AA638" s="26"/>
      <c r="AB638" s="26"/>
      <c r="AC638" s="26"/>
      <c r="AD638" s="26"/>
      <c r="AE638" s="26"/>
      <c r="AF638" s="26"/>
      <c r="AG638" s="26"/>
      <c r="AH638" s="26"/>
      <c r="AI638" s="26"/>
      <c r="AJ638" s="26"/>
      <c r="AK638" s="26"/>
      <c r="AL638" s="26"/>
      <c r="AM638" s="26"/>
      <c r="AN638" s="26"/>
      <c r="AO638" s="26"/>
      <c r="AP638" s="26"/>
      <c r="AQ638" s="26"/>
      <c r="AR638" s="26"/>
      <c r="AS638" s="26"/>
      <c r="AT638" s="26"/>
      <c r="AU638" s="26"/>
      <c r="AV638" s="26"/>
      <c r="AW638" s="26"/>
      <c r="AX638" s="26"/>
      <c r="AY638" s="26"/>
    </row>
    <row r="639" spans="2:51">
      <c r="B639" s="31"/>
      <c r="C639" s="50"/>
      <c r="D639" s="50"/>
      <c r="J639" s="35"/>
      <c r="K639" s="35"/>
      <c r="L639" s="35"/>
      <c r="M639" s="35"/>
      <c r="N639" s="35"/>
      <c r="S639" s="26"/>
      <c r="T639" s="26"/>
      <c r="U639" s="26"/>
      <c r="V639" s="26"/>
      <c r="W639" s="26"/>
      <c r="X639" s="26"/>
      <c r="Y639" s="26"/>
      <c r="Z639" s="26"/>
      <c r="AA639" s="26"/>
      <c r="AB639" s="26"/>
      <c r="AC639" s="26"/>
      <c r="AD639" s="26"/>
      <c r="AE639" s="26"/>
      <c r="AF639" s="26"/>
      <c r="AG639" s="26"/>
      <c r="AH639" s="26"/>
      <c r="AI639" s="26"/>
      <c r="AJ639" s="26"/>
      <c r="AK639" s="26"/>
      <c r="AL639" s="26"/>
      <c r="AM639" s="26"/>
      <c r="AN639" s="26"/>
      <c r="AO639" s="26"/>
      <c r="AP639" s="26"/>
      <c r="AQ639" s="26"/>
      <c r="AR639" s="26"/>
      <c r="AS639" s="26"/>
      <c r="AT639" s="26"/>
      <c r="AU639" s="26"/>
      <c r="AV639" s="26"/>
      <c r="AW639" s="26"/>
      <c r="AX639" s="26"/>
      <c r="AY639" s="26"/>
    </row>
    <row r="640" spans="2:51">
      <c r="B640" s="31"/>
      <c r="C640" s="50"/>
      <c r="D640" s="50"/>
      <c r="J640" s="35"/>
      <c r="K640" s="35"/>
      <c r="L640" s="35"/>
      <c r="M640" s="35"/>
      <c r="N640" s="35"/>
      <c r="S640" s="26"/>
      <c r="T640" s="26"/>
      <c r="U640" s="26"/>
      <c r="V640" s="26"/>
      <c r="W640" s="26"/>
      <c r="X640" s="26"/>
      <c r="Y640" s="26"/>
      <c r="Z640" s="26"/>
      <c r="AA640" s="26"/>
      <c r="AB640" s="26"/>
      <c r="AC640" s="26"/>
      <c r="AD640" s="26"/>
      <c r="AE640" s="26"/>
      <c r="AF640" s="26"/>
      <c r="AG640" s="26"/>
      <c r="AH640" s="26"/>
      <c r="AI640" s="26"/>
      <c r="AJ640" s="26"/>
      <c r="AK640" s="26"/>
      <c r="AL640" s="26"/>
      <c r="AM640" s="26"/>
      <c r="AN640" s="26"/>
      <c r="AO640" s="26"/>
      <c r="AP640" s="26"/>
      <c r="AQ640" s="26"/>
      <c r="AR640" s="26"/>
      <c r="AS640" s="26"/>
      <c r="AT640" s="26"/>
      <c r="AU640" s="26"/>
      <c r="AV640" s="26"/>
      <c r="AW640" s="26"/>
      <c r="AX640" s="26"/>
      <c r="AY640" s="26"/>
    </row>
    <row r="641" spans="2:51" ht="15.6">
      <c r="B641" s="30" t="s">
        <v>167</v>
      </c>
      <c r="C641" s="37" t="s">
        <v>165</v>
      </c>
      <c r="D641" s="37" t="s">
        <v>165</v>
      </c>
      <c r="E641" s="37" t="s">
        <v>165</v>
      </c>
      <c r="F641" s="278"/>
      <c r="G641" s="278"/>
      <c r="H641" s="278"/>
      <c r="S641" s="26"/>
      <c r="T641" s="26"/>
      <c r="U641" s="26"/>
      <c r="V641" s="26"/>
      <c r="W641" s="26"/>
      <c r="X641" s="26"/>
      <c r="Y641" s="26"/>
      <c r="Z641" s="26"/>
      <c r="AA641" s="26"/>
      <c r="AB641" s="26"/>
      <c r="AC641" s="26"/>
      <c r="AD641" s="26"/>
      <c r="AE641" s="26"/>
      <c r="AF641" s="26"/>
      <c r="AG641" s="26"/>
      <c r="AH641" s="26"/>
      <c r="AI641" s="26"/>
      <c r="AJ641" s="26"/>
      <c r="AK641" s="26"/>
      <c r="AL641" s="26"/>
      <c r="AM641" s="26"/>
      <c r="AN641" s="26"/>
      <c r="AO641" s="26"/>
      <c r="AP641" s="26"/>
      <c r="AQ641" s="26"/>
      <c r="AR641" s="26"/>
      <c r="AS641" s="26"/>
      <c r="AT641" s="26"/>
      <c r="AU641" s="26"/>
      <c r="AV641" s="26"/>
      <c r="AW641" s="26"/>
      <c r="AX641" s="26"/>
      <c r="AY641" s="26"/>
    </row>
    <row r="642" spans="2:51">
      <c r="B642" s="14"/>
      <c r="C642" s="30">
        <v>2018</v>
      </c>
      <c r="D642" s="30" t="s">
        <v>223</v>
      </c>
      <c r="E642" s="30" t="s">
        <v>224</v>
      </c>
      <c r="F642" s="279"/>
      <c r="G642" s="279"/>
      <c r="H642" s="279"/>
      <c r="S642" s="26"/>
      <c r="T642" s="26"/>
      <c r="U642" s="26"/>
      <c r="V642" s="26"/>
      <c r="W642" s="26"/>
      <c r="X642" s="26"/>
      <c r="Y642" s="26"/>
      <c r="Z642" s="26"/>
      <c r="AA642" s="26"/>
      <c r="AB642" s="26"/>
      <c r="AC642" s="26"/>
      <c r="AD642" s="26"/>
      <c r="AE642" s="26"/>
      <c r="AF642" s="26"/>
      <c r="AG642" s="26"/>
      <c r="AH642" s="26"/>
      <c r="AI642" s="26"/>
      <c r="AJ642" s="26"/>
      <c r="AK642" s="26"/>
      <c r="AL642" s="26"/>
      <c r="AM642" s="26"/>
      <c r="AN642" s="26"/>
      <c r="AO642" s="26"/>
      <c r="AP642" s="26"/>
      <c r="AQ642" s="26"/>
      <c r="AR642" s="26"/>
      <c r="AS642" s="26"/>
      <c r="AT642" s="26"/>
      <c r="AU642" s="26"/>
      <c r="AV642" s="26"/>
      <c r="AW642" s="26"/>
      <c r="AX642" s="26"/>
      <c r="AY642" s="26"/>
    </row>
    <row r="643" spans="2:51">
      <c r="B643" s="32" t="s">
        <v>153</v>
      </c>
      <c r="C643" s="68">
        <f>('2018'!$X$17*'2018'!$E$89+(IF(SUM('2018'!$I$33:$I$71)=0,0,'2018'!$X$18-('2018'!$I$16+'2018'!$I$18)/('2018'!$I$16+'2018'!$I$18+'2018'!$I$24+SUM('2018'!$I$33:$I$71))*SUM('2018'!$L$31:$V$31)))*'2018'!$I$89)/1000</f>
        <v>31.159299999999998</v>
      </c>
      <c r="D643" s="68">
        <f>('BAU2030'!$X$17*'BAU2030'!$E$89+(IF(SUM('BAU2030'!$I$33:$I$71)=0,0,'BAU2030'!$X$18-('BAU2030'!$I$16+'BAU2030'!$I$18)/('BAU2030'!$I$16+'BAU2030'!$I$18+'BAU2030'!$I$24+SUM('BAU2030'!$I$33:$I$71))*SUM('BAU2030'!$L$31:$V$31)))*'BAU2030'!$I$89)/1000</f>
        <v>18.755078399999999</v>
      </c>
      <c r="E643" s="68">
        <f>('BAU2050'!$X$17*'BAU2050'!$E$89+(IF(SUM('BAU2050'!$I$33:$I$71)=0,0,'BAU2050'!$X$18-('BAU2050'!$I$16+'BAU2050'!$I$18)/('BAU2050'!$I$16+'BAU2050'!$I$18+'BAU2050'!$I$24+SUM('BAU2050'!$I$33:$I$71))*SUM('BAU2050'!$L$31:$V$31)))*'BAU2050'!$I$89)/1000</f>
        <v>15.64992</v>
      </c>
      <c r="F643" s="287"/>
      <c r="G643" s="287"/>
      <c r="H643" s="287"/>
      <c r="S643" s="26"/>
      <c r="T643" s="26"/>
      <c r="U643" s="26"/>
      <c r="V643" s="26"/>
      <c r="W643" s="26"/>
      <c r="X643" s="26"/>
      <c r="Y643" s="26"/>
      <c r="Z643" s="26"/>
      <c r="AA643" s="26"/>
      <c r="AB643" s="26"/>
      <c r="AC643" s="26"/>
      <c r="AD643" s="26"/>
      <c r="AE643" s="26"/>
      <c r="AF643" s="26"/>
      <c r="AG643" s="26"/>
      <c r="AH643" s="26"/>
      <c r="AI643" s="26"/>
      <c r="AJ643" s="26"/>
      <c r="AK643" s="26"/>
      <c r="AL643" s="26"/>
      <c r="AM643" s="26"/>
      <c r="AN643" s="26"/>
      <c r="AO643" s="26"/>
      <c r="AP643" s="26"/>
      <c r="AQ643" s="26"/>
      <c r="AR643" s="26"/>
      <c r="AS643" s="26"/>
      <c r="AT643" s="26"/>
      <c r="AU643" s="26"/>
      <c r="AV643" s="26"/>
      <c r="AW643" s="26"/>
      <c r="AX643" s="26"/>
      <c r="AY643" s="26"/>
    </row>
    <row r="644" spans="2:51">
      <c r="B644" s="32" t="s">
        <v>154</v>
      </c>
      <c r="C644" s="12">
        <f>(SUM('2018'!$B$33:$B$62)*'2018'!$B$89+SUM('2018'!$C$33:$C$62)*'2018'!$C$89+SUM('2018'!$D$33:$D$62)*'2018'!$D$89+SUM('2018'!$E$33:$E$62)*'2018'!$E$89+SUM('2018'!$F$33:$F$62)*'2018'!$F$89+SUM('2018'!$G$33:$G$62)*'2018'!$G$89+SUM('2018'!$H$33:$H$62)*'2018'!$H$89+(IF(SUM('2018'!$I$33:$I$71)=0,0,SUM('2018'!$I$33:$I$62)-SUM('2018'!$I$33:$I$71)/('2018'!$I$16+'2018'!$I$18+'2018'!$I$24+SUM('2018'!$I$33:$I$71))*SUM('2018'!$L$31:$V$31)))*'2018'!$I$89+SUM('2018'!$W$33:$W$62)*'2018'!$W$89)/1000</f>
        <v>12.205934999999998</v>
      </c>
      <c r="D644" s="12">
        <f>(SUM('BAU2030'!$B$33:$B$62)*'BAU2030'!$B$89+SUM('BAU2030'!$C$33:$C$62)*'BAU2030'!$C$89+SUM('BAU2030'!$D$33:$D$62)*'BAU2030'!$D$89+SUM('BAU2030'!$E$33:$E$62)*'BAU2030'!$E$89+SUM('BAU2030'!$F$33:$F$62)*'BAU2030'!$F$89+SUM('BAU2030'!$G$33:$G$62)*'BAU2030'!$G$89+SUM('BAU2030'!$H$33:$H$62)*'BAU2030'!$H$89+(IF(SUM('BAU2030'!$I$33:$I$71)=0,0,SUM('BAU2030'!$I$33:$I$62)-SUM('BAU2030'!$I$33:$I$71)/('BAU2030'!$I$16+'BAU2030'!$I$18+'BAU2030'!$I$24+SUM('BAU2030'!$I$33:$I$71))*SUM('BAU2030'!$L$31:$V$31)))*'BAU2030'!$I$89+SUM('BAU2030'!$W$33:$W$62)*'BAU2030'!$W$89)/1000</f>
        <v>5.8416998399999995</v>
      </c>
      <c r="E644" s="12">
        <f>(SUM('BAU2050'!$B$33:$B$62)*'BAU2050'!$B$89+SUM('BAU2050'!$C$33:$C$62)*'BAU2050'!$C$89+SUM('BAU2050'!$D$33:$D$62)*'BAU2050'!$D$89+SUM('BAU2050'!$E$33:$E$62)*'BAU2050'!$E$89+SUM('BAU2050'!$F$33:$F$62)*'BAU2050'!$F$89+SUM('BAU2050'!$G$33:$G$62)*'BAU2050'!$G$89+SUM('BAU2050'!$H$33:$H$62)*'BAU2050'!$H$89+(IF(SUM('BAU2050'!$I$33:$I$71)=0,0,SUM('BAU2050'!$I$33:$I$62)-SUM('BAU2050'!$I$33:$I$71)/('BAU2050'!$I$16+'BAU2050'!$I$18+'BAU2050'!$I$24+SUM('BAU2050'!$I$33:$I$71))*SUM('BAU2050'!$L$31:$V$31)))*'BAU2050'!$I$89+SUM('BAU2050'!$W$33:$W$62)*'BAU2050'!$W$89)/1000</f>
        <v>5.5004481000000007</v>
      </c>
      <c r="F644" s="281"/>
      <c r="G644" s="281"/>
      <c r="H644" s="281"/>
      <c r="S644" s="26"/>
      <c r="T644" s="26"/>
      <c r="U644" s="26"/>
      <c r="V644" s="26"/>
      <c r="W644" s="26"/>
      <c r="X644" s="26"/>
      <c r="Y644" s="26"/>
      <c r="Z644" s="26"/>
      <c r="AA644" s="26"/>
      <c r="AB644" s="26"/>
      <c r="AC644" s="26"/>
      <c r="AD644" s="26"/>
      <c r="AE644" s="26"/>
      <c r="AF644" s="26"/>
      <c r="AG644" s="26"/>
      <c r="AH644" s="26"/>
      <c r="AI644" s="26"/>
      <c r="AJ644" s="26"/>
      <c r="AK644" s="26"/>
      <c r="AL644" s="26"/>
      <c r="AM644" s="26"/>
      <c r="AN644" s="26"/>
      <c r="AO644" s="26"/>
      <c r="AP644" s="26"/>
      <c r="AQ644" s="26"/>
      <c r="AR644" s="26"/>
      <c r="AS644" s="26"/>
      <c r="AT644" s="26"/>
      <c r="AU644" s="26"/>
      <c r="AV644" s="26"/>
      <c r="AW644" s="26"/>
      <c r="AX644" s="26"/>
      <c r="AY644" s="26"/>
    </row>
    <row r="645" spans="2:51">
      <c r="B645" s="32" t="s">
        <v>155</v>
      </c>
      <c r="C645" s="12">
        <f>(SUM('2018'!$B$63:$B$71,'2018'!$B$24:$B$25,'2018'!$B$23,'2018'!$B$16)*'2018'!$B$89+SUM('2018'!$C$63:$C$71,'2018'!$C$24:$C$25,'2018'!$C$23,'2018'!$C$16)*'2018'!$C$89+SUM('2018'!$D$63:$D$71,'2018'!$D$24:$D$25,'2018'!$D$23,'2018'!$D$16)*'2018'!$D$89+SUM('2018'!$E$63:$E$71,'2018'!$E$24:$E$25,'2018'!$E$23,'2018'!$E$16)*'2018'!$E$89+SUM('2018'!$F$63:$F$71,'2018'!$F$24:$F$25,'2018'!$F$23,'2018'!$F$16)*'2018'!$F$89+SUM('2018'!$G$63:$G$71,'2018'!$G$24:$G$25,'2018'!$G$23,'2018'!$G$16)*'2018'!$G$89+SUM('2018'!$G$63:$G$71,'2018'!$G$24:$G$25,'2018'!$G$23,'2018'!$G$16)*'2018'!$G$89+SUM('2018'!$H$63:$H$71,'2018'!$H$24:$H$25,'2018'!$H$23,'2018'!$H$16)*'2018'!$H$89+(SUM('2018'!$I$63:$I$71,'2018'!$I$24:$I$25,'2018'!$I$23,'2018'!$I$16)-IF(SUM('2018'!$I$33:$I$71)=0,0,('2018'!$I$24)/('2018'!$I$16+'2018'!$I$18+'2018'!$I$24+SUM('2018'!$I$33:$I$71)))*SUM('2018'!$L$31:$V$31))*'2018'!$I$89+SUM('2018'!$W$63:$W$71,'2018'!$W$24:$W$25,'2018'!$W$23,'2018'!$W$16)*'2018'!$W$89)/1000</f>
        <v>44.493400000000001</v>
      </c>
      <c r="D645" s="12">
        <f>(SUM('BAU2030'!$B$63:$B$71,'BAU2030'!$B$24:$B$25,'BAU2030'!$B$23,'BAU2030'!$B$16)*'BAU2030'!$B$89+SUM('BAU2030'!$C$63:$C$71,'BAU2030'!$C$24:$C$25,'BAU2030'!$C$23,'BAU2030'!$C$16)*'BAU2030'!$C$89+SUM('BAU2030'!$D$63:$D$71,'BAU2030'!$D$24:$D$25,'BAU2030'!$D$23,'BAU2030'!$D$16)*'BAU2030'!$D$89+SUM('BAU2030'!$E$63:$E$71,'BAU2030'!$E$24:$E$25,'BAU2030'!$E$23,'BAU2030'!$E$16)*'BAU2030'!$E$89+SUM('BAU2030'!$F$63:$F$71,'BAU2030'!$F$24:$F$25,'BAU2030'!$F$23,'BAU2030'!$F$16)*'BAU2030'!$F$89+SUM('BAU2030'!$G$63:$G$71,'BAU2030'!$G$24:$G$25,'BAU2030'!$G$23,'BAU2030'!$G$16)*'BAU2030'!$G$89+SUM('BAU2030'!$G$63:$G$71,'BAU2030'!$G$24:$G$25,'BAU2030'!$G$23,'BAU2030'!$G$16)*'BAU2030'!$G$89+SUM('BAU2030'!$H$63:$H$71,'BAU2030'!$H$24:$H$25,'BAU2030'!$H$23,'BAU2030'!$H$16)*'BAU2030'!$H$89+(SUM('BAU2030'!$I$63:$I$71,'BAU2030'!$I$24:$I$25,'BAU2030'!$I$23,'BAU2030'!$I$16)-IF(SUM('BAU2030'!$I$33:$I$71)=0,0,('BAU2030'!$I$24)/('BAU2030'!$I$16+'BAU2030'!$I$18+'BAU2030'!$I$24+SUM('BAU2030'!$I$33:$I$71)))*SUM('BAU2030'!$L$31:$V$31))*'BAU2030'!$I$89+SUM('BAU2030'!$W$63:$W$71,'BAU2030'!$W$24:$W$25,'BAU2030'!$W$23,'BAU2030'!$W$16)*'BAU2030'!$W$89)/1000</f>
        <v>44.493400000000001</v>
      </c>
      <c r="E645" s="12">
        <f>(SUM('BAU2050'!$B$63:$B$71,'BAU2050'!$B$24:$B$25,'BAU2050'!$B$23,'BAU2050'!$B$16)*'BAU2050'!$B$89+SUM('BAU2050'!$C$63:$C$71,'BAU2050'!$C$24:$C$25,'BAU2050'!$C$23,'BAU2050'!$C$16)*'BAU2050'!$C$89+SUM('BAU2050'!$D$63:$D$71,'BAU2050'!$D$24:$D$25,'BAU2050'!$D$23,'BAU2050'!$D$16)*'BAU2050'!$D$89+SUM('BAU2050'!$E$63:$E$71,'BAU2050'!$E$24:$E$25,'BAU2050'!$E$23,'BAU2050'!$E$16)*'BAU2050'!$E$89+SUM('BAU2050'!$F$63:$F$71,'BAU2050'!$F$24:$F$25,'BAU2050'!$F$23,'BAU2050'!$F$16)*'BAU2050'!$F$89+SUM('BAU2050'!$G$63:$G$71,'BAU2050'!$G$24:$G$25,'BAU2050'!$G$23,'BAU2050'!$G$16)*'BAU2050'!$G$89+SUM('BAU2050'!$G$63:$G$71,'BAU2050'!$G$24:$G$25,'BAU2050'!$G$23,'BAU2050'!$G$16)*'BAU2050'!$G$89+SUM('BAU2050'!$H$63:$H$71,'BAU2050'!$H$24:$H$25,'BAU2050'!$H$23,'BAU2050'!$H$16)*'BAU2050'!$H$89+(SUM('BAU2050'!$I$63:$I$71,'BAU2050'!$I$24:$I$25,'BAU2050'!$I$23,'BAU2050'!$I$16)-IF(SUM('BAU2050'!$I$33:$I$71)=0,0,('BAU2050'!$I$24)/('BAU2050'!$I$16+'BAU2050'!$I$18+'BAU2050'!$I$24+SUM('BAU2050'!$I$33:$I$71)))*SUM('BAU2050'!$L$31:$V$31))*'BAU2050'!$I$89+SUM('BAU2050'!$W$63:$W$71,'BAU2050'!$W$24:$W$25,'BAU2050'!$W$23,'BAU2050'!$W$16)*'BAU2050'!$W$89)/1000</f>
        <v>44.493400000000001</v>
      </c>
      <c r="F645" s="281"/>
      <c r="G645" s="281"/>
      <c r="S645" s="26"/>
      <c r="T645" s="26"/>
      <c r="U645" s="26"/>
      <c r="V645" s="26"/>
      <c r="W645" s="26"/>
      <c r="X645" s="26"/>
      <c r="Y645" s="26"/>
      <c r="Z645" s="26"/>
      <c r="AA645" s="26"/>
      <c r="AB645" s="26"/>
      <c r="AC645" s="26"/>
      <c r="AD645" s="26"/>
      <c r="AE645" s="26"/>
      <c r="AF645" s="26"/>
      <c r="AG645" s="26"/>
      <c r="AH645" s="26"/>
      <c r="AI645" s="26"/>
      <c r="AJ645" s="26"/>
      <c r="AK645" s="26"/>
      <c r="AL645" s="26"/>
      <c r="AM645" s="26"/>
      <c r="AN645" s="26"/>
      <c r="AO645" s="26"/>
      <c r="AP645" s="26"/>
      <c r="AQ645" s="26"/>
      <c r="AR645" s="26"/>
      <c r="AS645" s="26"/>
      <c r="AT645" s="26"/>
      <c r="AU645" s="26"/>
      <c r="AV645" s="26"/>
      <c r="AW645" s="26"/>
      <c r="AX645" s="26"/>
      <c r="AY645" s="26"/>
    </row>
    <row r="646" spans="2:51">
      <c r="B646" s="32" t="s">
        <v>156</v>
      </c>
      <c r="C646" s="12">
        <f>('2018'!$D$80*'2018'!$D$89+'2018'!$F$82*1000+'2018'!$G$82*1000+'2018'!$H$82*1000)/1000</f>
        <v>264.93598910000003</v>
      </c>
      <c r="D646" s="12">
        <f>('BAU2030'!$D$80*'BAU2030'!$D$89+'BAU2030'!$F$82*1000+'BAU2030'!$G$82*1000+'BAU2030'!$H$82*1000)/1000</f>
        <v>235.53322944900003</v>
      </c>
      <c r="E646" s="12">
        <f>('BAU2050'!$D$80*'BAU2050'!$D$89+'BAU2050'!$F$82*1000+'BAU2050'!$G$82*1000+'BAU2050'!$H$82*1000)/1000</f>
        <v>155.97907681999999</v>
      </c>
      <c r="F646" s="281"/>
      <c r="G646" s="281"/>
      <c r="H646" s="281"/>
      <c r="I646" s="81"/>
      <c r="S646" s="26"/>
      <c r="T646" s="26"/>
      <c r="U646" s="26"/>
      <c r="V646" s="26"/>
      <c r="W646" s="26"/>
      <c r="X646" s="26"/>
      <c r="Y646" s="26"/>
      <c r="Z646" s="26"/>
      <c r="AA646" s="26"/>
      <c r="AB646" s="26"/>
      <c r="AC646" s="26"/>
      <c r="AD646" s="26"/>
      <c r="AE646" s="26"/>
      <c r="AF646" s="26"/>
      <c r="AG646" s="26"/>
      <c r="AH646" s="26"/>
      <c r="AI646" s="26"/>
      <c r="AJ646" s="26"/>
      <c r="AK646" s="26"/>
      <c r="AL646" s="26"/>
      <c r="AM646" s="26"/>
      <c r="AN646" s="26"/>
      <c r="AO646" s="26"/>
      <c r="AP646" s="26"/>
      <c r="AQ646" s="26"/>
      <c r="AR646" s="26"/>
      <c r="AS646" s="26"/>
      <c r="AT646" s="26"/>
      <c r="AU646" s="26"/>
      <c r="AV646" s="26"/>
      <c r="AW646" s="26"/>
      <c r="AX646" s="26"/>
      <c r="AY646" s="26"/>
    </row>
    <row r="647" spans="2:51">
      <c r="B647" s="32" t="s">
        <v>207</v>
      </c>
      <c r="C647" s="12"/>
      <c r="D647" s="12"/>
      <c r="E647" s="12"/>
      <c r="F647" s="281"/>
      <c r="G647" s="281"/>
      <c r="H647" s="281"/>
      <c r="S647" s="26"/>
      <c r="T647" s="26"/>
      <c r="U647" s="26"/>
      <c r="V647" s="26"/>
      <c r="W647" s="26"/>
      <c r="X647" s="26"/>
      <c r="Y647" s="26"/>
      <c r="Z647" s="26"/>
      <c r="AA647" s="26"/>
      <c r="AB647" s="26"/>
      <c r="AC647" s="26"/>
      <c r="AD647" s="26"/>
      <c r="AE647" s="26"/>
      <c r="AF647" s="26"/>
      <c r="AG647" s="26"/>
      <c r="AH647" s="26"/>
      <c r="AI647" s="26"/>
      <c r="AJ647" s="26"/>
      <c r="AK647" s="26"/>
      <c r="AL647" s="26"/>
      <c r="AM647" s="26"/>
      <c r="AN647" s="26"/>
      <c r="AO647" s="26"/>
      <c r="AP647" s="26"/>
      <c r="AQ647" s="26"/>
      <c r="AR647" s="26"/>
      <c r="AS647" s="26"/>
      <c r="AT647" s="26"/>
      <c r="AU647" s="26"/>
      <c r="AV647" s="26"/>
      <c r="AW647" s="26"/>
      <c r="AX647" s="26"/>
      <c r="AY647" s="26"/>
    </row>
    <row r="648" spans="2:51">
      <c r="B648" s="32" t="s">
        <v>157</v>
      </c>
      <c r="C648" s="12">
        <f>'2018'!$A$82</f>
        <v>-16.253355625390768</v>
      </c>
      <c r="D648" s="12">
        <f>'BAU2030'!$A$82</f>
        <v>0</v>
      </c>
      <c r="E648" s="12">
        <f>'BAU2050'!$A$82</f>
        <v>0</v>
      </c>
      <c r="F648" s="281"/>
      <c r="G648" s="281"/>
      <c r="H648" s="281"/>
      <c r="S648" s="26"/>
      <c r="T648" s="26"/>
      <c r="U648" s="26"/>
      <c r="V648" s="26"/>
      <c r="W648" s="26"/>
      <c r="X648" s="26"/>
      <c r="Y648" s="26"/>
      <c r="Z648" s="26"/>
      <c r="AA648" s="26"/>
      <c r="AB648" s="26"/>
      <c r="AC648" s="26"/>
      <c r="AD648" s="26"/>
      <c r="AE648" s="26"/>
      <c r="AF648" s="26"/>
      <c r="AG648" s="26"/>
      <c r="AH648" s="26"/>
      <c r="AI648" s="26"/>
      <c r="AJ648" s="26"/>
      <c r="AK648" s="26"/>
      <c r="AL648" s="26"/>
      <c r="AM648" s="26"/>
      <c r="AN648" s="26"/>
      <c r="AO648" s="26"/>
      <c r="AP648" s="26"/>
      <c r="AQ648" s="26"/>
      <c r="AR648" s="26"/>
      <c r="AS648" s="26"/>
      <c r="AT648" s="26"/>
      <c r="AU648" s="26"/>
      <c r="AV648" s="26"/>
      <c r="AW648" s="26"/>
      <c r="AX648" s="26"/>
      <c r="AY648" s="26"/>
    </row>
    <row r="649" spans="2:51">
      <c r="B649" s="55" t="s">
        <v>147</v>
      </c>
      <c r="C649" s="56">
        <f>SUM(C643:C648)</f>
        <v>336.54126847460924</v>
      </c>
      <c r="D649" s="56">
        <f>SUM(D643:D648)</f>
        <v>304.62340768900003</v>
      </c>
      <c r="E649" s="56">
        <f>SUM(E643:E648)</f>
        <v>221.62284491999998</v>
      </c>
      <c r="F649" s="282"/>
      <c r="G649" s="282"/>
      <c r="H649" s="282"/>
      <c r="I649" s="283"/>
      <c r="S649" s="26"/>
      <c r="T649" s="26"/>
      <c r="U649" s="26"/>
      <c r="V649" s="26"/>
      <c r="W649" s="26"/>
      <c r="X649" s="26"/>
      <c r="Y649" s="26"/>
      <c r="Z649" s="26"/>
      <c r="AA649" s="26"/>
      <c r="AB649" s="26"/>
      <c r="AC649" s="26"/>
      <c r="AD649" s="26"/>
      <c r="AE649" s="26"/>
      <c r="AF649" s="26"/>
      <c r="AG649" s="26"/>
      <c r="AH649" s="26"/>
      <c r="AI649" s="26"/>
      <c r="AJ649" s="26"/>
      <c r="AK649" s="26"/>
      <c r="AL649" s="26"/>
      <c r="AM649" s="26"/>
      <c r="AN649" s="26"/>
      <c r="AO649" s="26"/>
      <c r="AP649" s="26"/>
      <c r="AQ649" s="26"/>
      <c r="AR649" s="26"/>
      <c r="AS649" s="26"/>
      <c r="AT649" s="26"/>
      <c r="AU649" s="26"/>
      <c r="AV649" s="26"/>
      <c r="AW649" s="26"/>
      <c r="AX649" s="26"/>
      <c r="AY649" s="26"/>
    </row>
    <row r="650" spans="2:51">
      <c r="B650" s="35"/>
      <c r="C650" s="100"/>
      <c r="D650" s="100"/>
      <c r="E650" s="100"/>
      <c r="F650" s="100"/>
      <c r="G650" s="100"/>
      <c r="H650" s="100"/>
      <c r="I650" s="100"/>
      <c r="J650" s="35"/>
      <c r="K650" s="35"/>
      <c r="L650" s="35"/>
      <c r="M650" s="35"/>
      <c r="N650" s="35"/>
      <c r="S650" s="26"/>
      <c r="T650" s="26"/>
      <c r="U650" s="26"/>
      <c r="V650" s="26"/>
      <c r="W650" s="26"/>
      <c r="X650" s="26"/>
      <c r="Y650" s="26"/>
      <c r="Z650" s="26"/>
      <c r="AA650" s="26"/>
      <c r="AB650" s="26"/>
      <c r="AC650" s="26"/>
      <c r="AD650" s="26"/>
      <c r="AE650" s="26"/>
      <c r="AF650" s="26"/>
      <c r="AG650" s="26"/>
      <c r="AH650" s="26"/>
      <c r="AI650" s="26"/>
      <c r="AJ650" s="26"/>
      <c r="AK650" s="26"/>
      <c r="AL650" s="26"/>
      <c r="AM650" s="26"/>
      <c r="AN650" s="26"/>
      <c r="AO650" s="26"/>
      <c r="AP650" s="26"/>
      <c r="AQ650" s="26"/>
      <c r="AR650" s="26"/>
      <c r="AS650" s="26"/>
      <c r="AT650" s="26"/>
      <c r="AU650" s="26"/>
      <c r="AV650" s="26"/>
      <c r="AW650" s="26"/>
      <c r="AX650" s="26"/>
      <c r="AY650" s="26"/>
    </row>
    <row r="651" spans="2:51">
      <c r="B651" s="92"/>
      <c r="C651" s="92"/>
      <c r="D651" s="92"/>
      <c r="E651" s="92"/>
      <c r="F651" s="92"/>
      <c r="G651" s="92"/>
      <c r="H651" s="92"/>
      <c r="I651" s="92"/>
      <c r="J651" s="35"/>
      <c r="K651" s="35"/>
      <c r="L651" s="35"/>
      <c r="M651" s="35"/>
      <c r="N651" s="35"/>
      <c r="S651" s="26"/>
      <c r="T651" s="26"/>
      <c r="U651" s="26"/>
      <c r="V651" s="26"/>
      <c r="W651" s="26"/>
      <c r="X651" s="26"/>
      <c r="Y651" s="26"/>
      <c r="Z651" s="26"/>
      <c r="AA651" s="26"/>
      <c r="AB651" s="26"/>
      <c r="AC651" s="26"/>
      <c r="AD651" s="26"/>
      <c r="AE651" s="26"/>
      <c r="AF651" s="26"/>
      <c r="AG651" s="26"/>
      <c r="AH651" s="26"/>
      <c r="AI651" s="26"/>
      <c r="AJ651" s="26"/>
      <c r="AK651" s="26"/>
      <c r="AL651" s="26"/>
      <c r="AM651" s="26"/>
      <c r="AN651" s="26"/>
      <c r="AO651" s="26"/>
      <c r="AP651" s="26"/>
      <c r="AQ651" s="26"/>
      <c r="AR651" s="26"/>
      <c r="AS651" s="26"/>
      <c r="AT651" s="26"/>
      <c r="AU651" s="26"/>
      <c r="AV651" s="26"/>
      <c r="AW651" s="26"/>
      <c r="AX651" s="26"/>
      <c r="AY651" s="26"/>
    </row>
    <row r="652" spans="2:51" ht="15.6">
      <c r="B652" s="59" t="s">
        <v>167</v>
      </c>
      <c r="I652" s="99"/>
      <c r="J652" s="35"/>
      <c r="K652" s="35"/>
      <c r="L652" s="35"/>
      <c r="M652" s="35"/>
      <c r="N652" s="35"/>
      <c r="S652" s="26"/>
      <c r="T652" s="26"/>
      <c r="U652" s="26"/>
      <c r="V652" s="26"/>
      <c r="W652" s="26"/>
      <c r="X652" s="26"/>
      <c r="Y652" s="26"/>
      <c r="Z652" s="26"/>
      <c r="AA652" s="26"/>
      <c r="AB652" s="26"/>
      <c r="AC652" s="26"/>
      <c r="AD652" s="26"/>
      <c r="AE652" s="26"/>
      <c r="AF652" s="26"/>
      <c r="AG652" s="26"/>
      <c r="AH652" s="26"/>
      <c r="AI652" s="26"/>
      <c r="AJ652" s="26"/>
      <c r="AK652" s="26"/>
      <c r="AL652" s="26"/>
      <c r="AM652" s="26"/>
      <c r="AN652" s="26"/>
      <c r="AO652" s="26"/>
      <c r="AP652" s="26"/>
      <c r="AQ652" s="26"/>
      <c r="AR652" s="26"/>
      <c r="AS652" s="26"/>
      <c r="AT652" s="26"/>
      <c r="AU652" s="26"/>
      <c r="AV652" s="26"/>
      <c r="AW652" s="26"/>
      <c r="AX652" s="26"/>
      <c r="AY652" s="26"/>
    </row>
    <row r="653" spans="2:51">
      <c r="J653" s="35"/>
      <c r="K653" s="35"/>
      <c r="L653" s="35"/>
      <c r="M653" s="35"/>
      <c r="N653" s="35"/>
      <c r="S653" s="26"/>
      <c r="T653" s="26"/>
      <c r="U653" s="26"/>
      <c r="V653" s="26"/>
      <c r="W653" s="26"/>
      <c r="X653" s="26"/>
      <c r="Y653" s="26"/>
      <c r="Z653" s="26"/>
      <c r="AA653" s="26"/>
      <c r="AB653" s="26"/>
      <c r="AC653" s="26"/>
      <c r="AD653" s="26"/>
      <c r="AE653" s="26"/>
      <c r="AF653" s="26"/>
      <c r="AG653" s="26"/>
      <c r="AH653" s="26"/>
      <c r="AI653" s="26"/>
      <c r="AJ653" s="26"/>
      <c r="AK653" s="26"/>
      <c r="AL653" s="26"/>
      <c r="AM653" s="26"/>
      <c r="AN653" s="26"/>
      <c r="AO653" s="26"/>
      <c r="AP653" s="26"/>
      <c r="AQ653" s="26"/>
      <c r="AR653" s="26"/>
      <c r="AS653" s="26"/>
      <c r="AT653" s="26"/>
      <c r="AU653" s="26"/>
      <c r="AV653" s="26"/>
      <c r="AW653" s="26"/>
      <c r="AX653" s="26"/>
      <c r="AY653" s="26"/>
    </row>
    <row r="654" spans="2:51">
      <c r="J654" s="35"/>
      <c r="K654" s="35"/>
      <c r="L654" s="35"/>
      <c r="M654" s="35"/>
      <c r="N654" s="35"/>
      <c r="S654" s="26"/>
      <c r="T654" s="26"/>
      <c r="U654" s="26"/>
      <c r="V654" s="26"/>
      <c r="W654" s="26"/>
      <c r="X654" s="26"/>
      <c r="Y654" s="26"/>
      <c r="Z654" s="26"/>
      <c r="AA654" s="26"/>
      <c r="AB654" s="26"/>
      <c r="AC654" s="26"/>
      <c r="AD654" s="26"/>
      <c r="AE654" s="26"/>
      <c r="AF654" s="26"/>
      <c r="AG654" s="26"/>
      <c r="AH654" s="26"/>
      <c r="AI654" s="26"/>
      <c r="AJ654" s="26"/>
      <c r="AK654" s="26"/>
      <c r="AL654" s="26"/>
      <c r="AM654" s="26"/>
      <c r="AN654" s="26"/>
      <c r="AO654" s="26"/>
      <c r="AP654" s="26"/>
      <c r="AQ654" s="26"/>
      <c r="AR654" s="26"/>
      <c r="AS654" s="26"/>
      <c r="AT654" s="26"/>
      <c r="AU654" s="26"/>
      <c r="AV654" s="26"/>
      <c r="AW654" s="26"/>
      <c r="AX654" s="26"/>
      <c r="AY654" s="26"/>
    </row>
    <row r="655" spans="2:51">
      <c r="J655" s="35"/>
      <c r="K655" s="35"/>
      <c r="L655" s="35"/>
      <c r="M655" s="35"/>
      <c r="N655" s="35"/>
      <c r="S655" s="26"/>
      <c r="T655" s="26"/>
      <c r="U655" s="26"/>
      <c r="V655" s="26"/>
      <c r="W655" s="26"/>
      <c r="X655" s="26"/>
      <c r="Y655" s="26"/>
      <c r="Z655" s="26"/>
      <c r="AA655" s="26"/>
      <c r="AB655" s="26"/>
      <c r="AC655" s="26"/>
      <c r="AD655" s="26"/>
      <c r="AE655" s="26"/>
      <c r="AF655" s="26"/>
      <c r="AG655" s="26"/>
      <c r="AH655" s="26"/>
      <c r="AI655" s="26"/>
      <c r="AJ655" s="26"/>
      <c r="AK655" s="26"/>
      <c r="AL655" s="26"/>
      <c r="AM655" s="26"/>
      <c r="AN655" s="26"/>
      <c r="AO655" s="26"/>
      <c r="AP655" s="26"/>
      <c r="AQ655" s="26"/>
      <c r="AR655" s="26"/>
      <c r="AS655" s="26"/>
      <c r="AT655" s="26"/>
      <c r="AU655" s="26"/>
      <c r="AV655" s="26"/>
      <c r="AW655" s="26"/>
      <c r="AX655" s="26"/>
      <c r="AY655" s="26"/>
    </row>
    <row r="656" spans="2:51">
      <c r="S656" s="26"/>
      <c r="T656" s="26"/>
      <c r="U656" s="26"/>
      <c r="V656" s="26"/>
      <c r="W656" s="26"/>
      <c r="X656" s="26"/>
      <c r="Y656" s="26"/>
      <c r="Z656" s="26"/>
      <c r="AA656" s="26"/>
      <c r="AB656" s="26"/>
      <c r="AC656" s="26"/>
      <c r="AD656" s="26"/>
      <c r="AE656" s="26"/>
      <c r="AF656" s="26"/>
      <c r="AG656" s="26"/>
      <c r="AH656" s="26"/>
      <c r="AI656" s="26"/>
      <c r="AJ656" s="26"/>
      <c r="AK656" s="26"/>
      <c r="AL656" s="26"/>
      <c r="AM656" s="26"/>
      <c r="AN656" s="26"/>
      <c r="AO656" s="26"/>
      <c r="AP656" s="26"/>
      <c r="AQ656" s="26"/>
      <c r="AR656" s="26"/>
      <c r="AS656" s="26"/>
      <c r="AT656" s="26"/>
      <c r="AU656" s="26"/>
      <c r="AV656" s="26"/>
      <c r="AW656" s="26"/>
      <c r="AX656" s="26"/>
      <c r="AY656" s="26"/>
    </row>
    <row r="657" spans="19:51">
      <c r="S657" s="26"/>
      <c r="T657" s="26"/>
      <c r="U657" s="26"/>
      <c r="V657" s="26"/>
      <c r="W657" s="26"/>
      <c r="X657" s="26"/>
      <c r="Y657" s="26"/>
      <c r="Z657" s="26"/>
      <c r="AA657" s="26"/>
      <c r="AB657" s="26"/>
      <c r="AC657" s="26"/>
      <c r="AD657" s="26"/>
      <c r="AE657" s="26"/>
      <c r="AF657" s="26"/>
      <c r="AG657" s="26"/>
      <c r="AH657" s="26"/>
      <c r="AI657" s="26"/>
      <c r="AJ657" s="26"/>
      <c r="AK657" s="26"/>
      <c r="AL657" s="26"/>
      <c r="AM657" s="26"/>
      <c r="AN657" s="26"/>
      <c r="AO657" s="26"/>
      <c r="AP657" s="26"/>
      <c r="AQ657" s="26"/>
      <c r="AR657" s="26"/>
      <c r="AS657" s="26"/>
      <c r="AT657" s="26"/>
      <c r="AU657" s="26"/>
      <c r="AV657" s="26"/>
      <c r="AW657" s="26"/>
      <c r="AX657" s="26"/>
      <c r="AY657" s="26"/>
    </row>
    <row r="658" spans="19:51">
      <c r="S658" s="26"/>
      <c r="T658" s="26"/>
      <c r="U658" s="26"/>
      <c r="V658" s="26"/>
      <c r="W658" s="26"/>
      <c r="X658" s="26"/>
      <c r="Y658" s="26"/>
      <c r="Z658" s="26"/>
      <c r="AA658" s="26"/>
      <c r="AB658" s="26"/>
      <c r="AC658" s="26"/>
      <c r="AD658" s="26"/>
      <c r="AE658" s="26"/>
      <c r="AF658" s="26"/>
      <c r="AG658" s="26"/>
      <c r="AH658" s="26"/>
      <c r="AI658" s="26"/>
      <c r="AJ658" s="26"/>
      <c r="AK658" s="26"/>
      <c r="AL658" s="26"/>
      <c r="AM658" s="26"/>
      <c r="AN658" s="26"/>
      <c r="AO658" s="26"/>
      <c r="AP658" s="26"/>
      <c r="AQ658" s="26"/>
      <c r="AR658" s="26"/>
      <c r="AS658" s="26"/>
      <c r="AT658" s="26"/>
      <c r="AU658" s="26"/>
      <c r="AV658" s="26"/>
      <c r="AW658" s="26"/>
      <c r="AX658" s="26"/>
      <c r="AY658" s="26"/>
    </row>
    <row r="659" spans="19:51">
      <c r="S659" s="26"/>
      <c r="T659" s="26"/>
      <c r="U659" s="26"/>
      <c r="V659" s="26"/>
      <c r="W659" s="26"/>
      <c r="X659" s="26"/>
      <c r="Y659" s="26"/>
      <c r="Z659" s="26"/>
      <c r="AA659" s="26"/>
      <c r="AB659" s="26"/>
      <c r="AC659" s="26"/>
      <c r="AD659" s="26"/>
      <c r="AE659" s="26"/>
      <c r="AF659" s="26"/>
      <c r="AG659" s="26"/>
      <c r="AH659" s="26"/>
      <c r="AI659" s="26"/>
      <c r="AJ659" s="26"/>
      <c r="AK659" s="26"/>
      <c r="AL659" s="26"/>
      <c r="AM659" s="26"/>
      <c r="AN659" s="26"/>
      <c r="AO659" s="26"/>
      <c r="AP659" s="26"/>
      <c r="AQ659" s="26"/>
      <c r="AR659" s="26"/>
      <c r="AS659" s="26"/>
      <c r="AT659" s="26"/>
      <c r="AU659" s="26"/>
      <c r="AV659" s="26"/>
      <c r="AW659" s="26"/>
      <c r="AX659" s="26"/>
      <c r="AY659" s="26"/>
    </row>
    <row r="660" spans="19:51">
      <c r="S660" s="26"/>
      <c r="T660" s="26"/>
      <c r="U660" s="26"/>
      <c r="V660" s="26"/>
      <c r="W660" s="26"/>
      <c r="X660" s="26"/>
      <c r="Y660" s="26"/>
      <c r="Z660" s="26"/>
      <c r="AA660" s="26"/>
      <c r="AB660" s="26"/>
      <c r="AC660" s="26"/>
      <c r="AD660" s="26"/>
      <c r="AE660" s="26"/>
      <c r="AF660" s="26"/>
      <c r="AG660" s="26"/>
      <c r="AH660" s="26"/>
      <c r="AI660" s="26"/>
      <c r="AJ660" s="26"/>
      <c r="AK660" s="26"/>
      <c r="AL660" s="26"/>
      <c r="AM660" s="26"/>
      <c r="AN660" s="26"/>
      <c r="AO660" s="26"/>
      <c r="AP660" s="26"/>
      <c r="AQ660" s="26"/>
      <c r="AR660" s="26"/>
      <c r="AS660" s="26"/>
      <c r="AT660" s="26"/>
      <c r="AU660" s="26"/>
      <c r="AV660" s="26"/>
      <c r="AW660" s="26"/>
      <c r="AX660" s="26"/>
      <c r="AY660" s="26"/>
    </row>
    <row r="661" spans="19:51">
      <c r="S661" s="26"/>
      <c r="T661" s="26"/>
      <c r="U661" s="26"/>
      <c r="V661" s="26"/>
      <c r="W661" s="26"/>
      <c r="X661" s="26"/>
      <c r="Y661" s="26"/>
      <c r="Z661" s="26"/>
      <c r="AA661" s="26"/>
      <c r="AB661" s="26"/>
      <c r="AC661" s="26"/>
      <c r="AD661" s="26"/>
      <c r="AE661" s="26"/>
      <c r="AF661" s="26"/>
      <c r="AG661" s="26"/>
      <c r="AH661" s="26"/>
      <c r="AI661" s="26"/>
      <c r="AJ661" s="26"/>
      <c r="AK661" s="26"/>
      <c r="AL661" s="26"/>
      <c r="AM661" s="26"/>
      <c r="AN661" s="26"/>
      <c r="AO661" s="26"/>
      <c r="AP661" s="26"/>
      <c r="AQ661" s="26"/>
      <c r="AR661" s="26"/>
      <c r="AS661" s="26"/>
      <c r="AT661" s="26"/>
      <c r="AU661" s="26"/>
      <c r="AV661" s="26"/>
      <c r="AW661" s="26"/>
      <c r="AX661" s="26"/>
      <c r="AY661" s="26"/>
    </row>
    <row r="662" spans="19:51">
      <c r="S662" s="26"/>
      <c r="T662" s="26"/>
      <c r="U662" s="26"/>
      <c r="V662" s="26"/>
      <c r="W662" s="26"/>
      <c r="X662" s="26"/>
      <c r="Y662" s="26"/>
      <c r="Z662" s="26"/>
      <c r="AA662" s="26"/>
      <c r="AB662" s="26"/>
      <c r="AC662" s="26"/>
      <c r="AD662" s="26"/>
      <c r="AE662" s="26"/>
      <c r="AF662" s="26"/>
      <c r="AG662" s="26"/>
      <c r="AH662" s="26"/>
      <c r="AI662" s="26"/>
      <c r="AJ662" s="26"/>
      <c r="AK662" s="26"/>
      <c r="AL662" s="26"/>
      <c r="AM662" s="26"/>
      <c r="AN662" s="26"/>
      <c r="AO662" s="26"/>
      <c r="AP662" s="26"/>
      <c r="AQ662" s="26"/>
      <c r="AR662" s="26"/>
      <c r="AS662" s="26"/>
      <c r="AT662" s="26"/>
      <c r="AU662" s="26"/>
      <c r="AV662" s="26"/>
      <c r="AW662" s="26"/>
      <c r="AX662" s="26"/>
      <c r="AY662" s="26"/>
    </row>
    <row r="663" spans="19:51">
      <c r="S663" s="26"/>
      <c r="T663" s="26"/>
      <c r="U663" s="26"/>
      <c r="V663" s="26"/>
      <c r="W663" s="26"/>
      <c r="X663" s="26"/>
      <c r="Y663" s="26"/>
      <c r="Z663" s="26"/>
      <c r="AA663" s="26"/>
      <c r="AB663" s="26"/>
      <c r="AC663" s="26"/>
      <c r="AD663" s="26"/>
      <c r="AE663" s="26"/>
      <c r="AF663" s="26"/>
      <c r="AG663" s="26"/>
      <c r="AH663" s="26"/>
      <c r="AI663" s="26"/>
      <c r="AJ663" s="26"/>
      <c r="AK663" s="26"/>
      <c r="AL663" s="26"/>
      <c r="AM663" s="26"/>
      <c r="AN663" s="26"/>
      <c r="AO663" s="26"/>
      <c r="AP663" s="26"/>
      <c r="AQ663" s="26"/>
      <c r="AR663" s="26"/>
      <c r="AS663" s="26"/>
      <c r="AT663" s="26"/>
      <c r="AU663" s="26"/>
      <c r="AV663" s="26"/>
      <c r="AW663" s="26"/>
      <c r="AX663" s="26"/>
      <c r="AY663" s="26"/>
    </row>
    <row r="664" spans="19:51">
      <c r="S664" s="26"/>
      <c r="T664" s="26"/>
      <c r="U664" s="26"/>
      <c r="V664" s="26"/>
      <c r="W664" s="26"/>
      <c r="X664" s="26"/>
      <c r="Y664" s="26"/>
      <c r="Z664" s="26"/>
      <c r="AA664" s="26"/>
      <c r="AB664" s="26"/>
      <c r="AC664" s="26"/>
      <c r="AD664" s="26"/>
      <c r="AE664" s="26"/>
      <c r="AF664" s="26"/>
      <c r="AG664" s="26"/>
      <c r="AH664" s="26"/>
      <c r="AI664" s="26"/>
      <c r="AJ664" s="26"/>
      <c r="AK664" s="26"/>
      <c r="AL664" s="26"/>
      <c r="AM664" s="26"/>
      <c r="AN664" s="26"/>
      <c r="AO664" s="26"/>
      <c r="AP664" s="26"/>
      <c r="AQ664" s="26"/>
      <c r="AR664" s="26"/>
      <c r="AS664" s="26"/>
      <c r="AT664" s="26"/>
      <c r="AU664" s="26"/>
      <c r="AV664" s="26"/>
      <c r="AW664" s="26"/>
      <c r="AX664" s="26"/>
      <c r="AY664" s="26"/>
    </row>
    <row r="665" spans="19:51">
      <c r="S665" s="26"/>
      <c r="T665" s="26"/>
      <c r="U665" s="26"/>
      <c r="V665" s="26"/>
      <c r="W665" s="26"/>
      <c r="X665" s="26"/>
      <c r="Y665" s="26"/>
      <c r="Z665" s="26"/>
      <c r="AA665" s="26"/>
      <c r="AB665" s="26"/>
      <c r="AC665" s="26"/>
      <c r="AD665" s="26"/>
      <c r="AE665" s="26"/>
      <c r="AF665" s="26"/>
      <c r="AG665" s="26"/>
      <c r="AH665" s="26"/>
      <c r="AI665" s="26"/>
      <c r="AJ665" s="26"/>
      <c r="AK665" s="26"/>
      <c r="AL665" s="26"/>
      <c r="AM665" s="26"/>
      <c r="AN665" s="26"/>
      <c r="AO665" s="26"/>
      <c r="AP665" s="26"/>
      <c r="AQ665" s="26"/>
      <c r="AR665" s="26"/>
      <c r="AS665" s="26"/>
      <c r="AT665" s="26"/>
      <c r="AU665" s="26"/>
      <c r="AV665" s="26"/>
      <c r="AW665" s="26"/>
      <c r="AX665" s="26"/>
      <c r="AY665" s="26"/>
    </row>
    <row r="666" spans="19:51">
      <c r="S666" s="26"/>
      <c r="T666" s="26"/>
      <c r="U666" s="26"/>
      <c r="V666" s="26"/>
      <c r="W666" s="26"/>
      <c r="X666" s="26"/>
      <c r="Y666" s="26"/>
      <c r="Z666" s="26"/>
      <c r="AA666" s="26"/>
      <c r="AB666" s="26"/>
      <c r="AC666" s="26"/>
      <c r="AD666" s="26"/>
      <c r="AE666" s="26"/>
      <c r="AF666" s="26"/>
      <c r="AG666" s="26"/>
      <c r="AH666" s="26"/>
      <c r="AI666" s="26"/>
      <c r="AJ666" s="26"/>
      <c r="AK666" s="26"/>
      <c r="AL666" s="26"/>
      <c r="AM666" s="26"/>
      <c r="AN666" s="26"/>
      <c r="AO666" s="26"/>
      <c r="AP666" s="26"/>
      <c r="AQ666" s="26"/>
      <c r="AR666" s="26"/>
      <c r="AS666" s="26"/>
      <c r="AT666" s="26"/>
      <c r="AU666" s="26"/>
      <c r="AV666" s="26"/>
      <c r="AW666" s="26"/>
      <c r="AX666" s="26"/>
      <c r="AY666" s="26"/>
    </row>
    <row r="667" spans="19:51">
      <c r="S667" s="26"/>
      <c r="T667" s="26"/>
      <c r="U667" s="26"/>
      <c r="V667" s="26"/>
      <c r="W667" s="26"/>
      <c r="X667" s="26"/>
      <c r="Y667" s="26"/>
      <c r="Z667" s="26"/>
      <c r="AA667" s="26"/>
      <c r="AB667" s="26"/>
      <c r="AC667" s="26"/>
      <c r="AD667" s="26"/>
      <c r="AE667" s="26"/>
      <c r="AF667" s="26"/>
      <c r="AG667" s="26"/>
      <c r="AH667" s="26"/>
      <c r="AI667" s="26"/>
      <c r="AJ667" s="26"/>
      <c r="AK667" s="26"/>
      <c r="AL667" s="26"/>
      <c r="AM667" s="26"/>
      <c r="AN667" s="26"/>
      <c r="AO667" s="26"/>
      <c r="AP667" s="26"/>
      <c r="AQ667" s="26"/>
      <c r="AR667" s="26"/>
      <c r="AS667" s="26"/>
      <c r="AT667" s="26"/>
      <c r="AU667" s="26"/>
      <c r="AV667" s="26"/>
      <c r="AW667" s="26"/>
      <c r="AX667" s="26"/>
      <c r="AY667" s="26"/>
    </row>
    <row r="668" spans="19:51">
      <c r="S668" s="26"/>
      <c r="T668" s="26"/>
      <c r="U668" s="26"/>
      <c r="V668" s="26"/>
      <c r="W668" s="26"/>
      <c r="X668" s="26"/>
      <c r="Y668" s="26"/>
      <c r="Z668" s="26"/>
      <c r="AA668" s="26"/>
      <c r="AB668" s="26"/>
      <c r="AC668" s="26"/>
      <c r="AD668" s="26"/>
      <c r="AE668" s="26"/>
      <c r="AF668" s="26"/>
      <c r="AG668" s="26"/>
      <c r="AH668" s="26"/>
      <c r="AI668" s="26"/>
      <c r="AJ668" s="26"/>
      <c r="AK668" s="26"/>
      <c r="AL668" s="26"/>
      <c r="AM668" s="26"/>
      <c r="AN668" s="26"/>
      <c r="AO668" s="26"/>
      <c r="AP668" s="26"/>
      <c r="AQ668" s="26"/>
      <c r="AR668" s="26"/>
      <c r="AS668" s="26"/>
      <c r="AT668" s="26"/>
      <c r="AU668" s="26"/>
      <c r="AV668" s="26"/>
      <c r="AW668" s="26"/>
      <c r="AX668" s="26"/>
      <c r="AY668" s="26"/>
    </row>
    <row r="669" spans="19:51">
      <c r="S669" s="26"/>
      <c r="T669" s="26"/>
      <c r="U669" s="26"/>
      <c r="V669" s="26"/>
      <c r="W669" s="26"/>
      <c r="X669" s="26"/>
      <c r="Y669" s="26"/>
      <c r="Z669" s="26"/>
      <c r="AA669" s="26"/>
      <c r="AB669" s="26"/>
      <c r="AC669" s="26"/>
      <c r="AD669" s="26"/>
      <c r="AE669" s="26"/>
      <c r="AF669" s="26"/>
      <c r="AG669" s="26"/>
      <c r="AH669" s="26"/>
      <c r="AI669" s="26"/>
      <c r="AJ669" s="26"/>
      <c r="AK669" s="26"/>
      <c r="AL669" s="26"/>
      <c r="AM669" s="26"/>
      <c r="AN669" s="26"/>
      <c r="AO669" s="26"/>
      <c r="AP669" s="26"/>
      <c r="AQ669" s="26"/>
      <c r="AR669" s="26"/>
      <c r="AS669" s="26"/>
      <c r="AT669" s="26"/>
      <c r="AU669" s="26"/>
      <c r="AV669" s="26"/>
      <c r="AW669" s="26"/>
      <c r="AX669" s="26"/>
      <c r="AY669" s="26"/>
    </row>
    <row r="670" spans="19:51">
      <c r="S670" s="26"/>
      <c r="T670" s="26"/>
      <c r="U670" s="26"/>
      <c r="V670" s="26"/>
      <c r="W670" s="26"/>
      <c r="X670" s="26"/>
      <c r="Y670" s="26"/>
      <c r="Z670" s="26"/>
      <c r="AA670" s="26"/>
      <c r="AB670" s="26"/>
      <c r="AC670" s="26"/>
      <c r="AD670" s="26"/>
      <c r="AE670" s="26"/>
      <c r="AF670" s="26"/>
      <c r="AG670" s="26"/>
      <c r="AH670" s="26"/>
      <c r="AI670" s="26"/>
      <c r="AJ670" s="26"/>
      <c r="AK670" s="26"/>
      <c r="AL670" s="26"/>
      <c r="AM670" s="26"/>
      <c r="AN670" s="26"/>
      <c r="AO670" s="26"/>
      <c r="AP670" s="26"/>
      <c r="AQ670" s="26"/>
      <c r="AR670" s="26"/>
      <c r="AS670" s="26"/>
      <c r="AT670" s="26"/>
      <c r="AU670" s="26"/>
      <c r="AV670" s="26"/>
      <c r="AW670" s="26"/>
      <c r="AX670" s="26"/>
      <c r="AY670" s="26"/>
    </row>
    <row r="671" spans="19:51">
      <c r="S671" s="26"/>
      <c r="T671" s="26"/>
      <c r="U671" s="26"/>
      <c r="V671" s="26"/>
      <c r="W671" s="26"/>
      <c r="X671" s="26"/>
      <c r="Y671" s="26"/>
      <c r="Z671" s="26"/>
      <c r="AA671" s="26"/>
      <c r="AB671" s="26"/>
      <c r="AC671" s="26"/>
      <c r="AD671" s="26"/>
      <c r="AE671" s="26"/>
      <c r="AF671" s="26"/>
      <c r="AG671" s="26"/>
      <c r="AH671" s="26"/>
      <c r="AI671" s="26"/>
      <c r="AJ671" s="26"/>
      <c r="AK671" s="26"/>
      <c r="AL671" s="26"/>
      <c r="AM671" s="26"/>
      <c r="AN671" s="26"/>
      <c r="AO671" s="26"/>
      <c r="AP671" s="26"/>
      <c r="AQ671" s="26"/>
      <c r="AR671" s="26"/>
      <c r="AS671" s="26"/>
      <c r="AT671" s="26"/>
      <c r="AU671" s="26"/>
      <c r="AV671" s="26"/>
      <c r="AW671" s="26"/>
      <c r="AX671" s="26"/>
      <c r="AY671" s="26"/>
    </row>
    <row r="672" spans="19:51">
      <c r="S672" s="26"/>
      <c r="T672" s="26"/>
      <c r="U672" s="26"/>
      <c r="V672" s="26"/>
      <c r="W672" s="26"/>
      <c r="X672" s="26"/>
      <c r="Y672" s="26"/>
      <c r="Z672" s="26"/>
      <c r="AA672" s="26"/>
      <c r="AB672" s="26"/>
      <c r="AC672" s="26"/>
      <c r="AD672" s="26"/>
      <c r="AE672" s="26"/>
      <c r="AF672" s="26"/>
      <c r="AG672" s="26"/>
      <c r="AH672" s="26"/>
      <c r="AI672" s="26"/>
      <c r="AJ672" s="26"/>
      <c r="AK672" s="26"/>
      <c r="AL672" s="26"/>
      <c r="AM672" s="26"/>
      <c r="AN672" s="26"/>
      <c r="AO672" s="26"/>
      <c r="AP672" s="26"/>
      <c r="AQ672" s="26"/>
      <c r="AR672" s="26"/>
      <c r="AS672" s="26"/>
      <c r="AT672" s="26"/>
      <c r="AU672" s="26"/>
      <c r="AV672" s="26"/>
      <c r="AW672" s="26"/>
      <c r="AX672" s="26"/>
      <c r="AY672" s="26"/>
    </row>
    <row r="673" spans="2:51">
      <c r="S673" s="26"/>
      <c r="T673" s="26"/>
      <c r="U673" s="26"/>
      <c r="V673" s="26"/>
      <c r="W673" s="26"/>
      <c r="X673" s="26"/>
      <c r="Y673" s="26"/>
      <c r="Z673" s="26"/>
      <c r="AA673" s="26"/>
      <c r="AB673" s="26"/>
      <c r="AC673" s="26"/>
      <c r="AD673" s="26"/>
      <c r="AE673" s="26"/>
      <c r="AF673" s="26"/>
      <c r="AG673" s="26"/>
      <c r="AH673" s="26"/>
      <c r="AI673" s="26"/>
      <c r="AJ673" s="26"/>
      <c r="AK673" s="26"/>
      <c r="AL673" s="26"/>
      <c r="AM673" s="26"/>
      <c r="AN673" s="26"/>
      <c r="AO673" s="26"/>
      <c r="AP673" s="26"/>
      <c r="AQ673" s="26"/>
      <c r="AR673" s="26"/>
      <c r="AS673" s="26"/>
      <c r="AT673" s="26"/>
      <c r="AU673" s="26"/>
      <c r="AV673" s="26"/>
      <c r="AW673" s="26"/>
      <c r="AX673" s="26"/>
      <c r="AY673" s="26"/>
    </row>
    <row r="674" spans="2:51">
      <c r="S674" s="26"/>
      <c r="T674" s="26"/>
      <c r="U674" s="26"/>
      <c r="V674" s="26"/>
      <c r="W674" s="26"/>
      <c r="X674" s="26"/>
      <c r="Y674" s="26"/>
      <c r="Z674" s="26"/>
      <c r="AA674" s="26"/>
      <c r="AB674" s="26"/>
      <c r="AC674" s="26"/>
      <c r="AD674" s="26"/>
      <c r="AE674" s="26"/>
      <c r="AF674" s="26"/>
      <c r="AG674" s="26"/>
      <c r="AH674" s="26"/>
      <c r="AI674" s="26"/>
      <c r="AJ674" s="26"/>
      <c r="AK674" s="26"/>
      <c r="AL674" s="26"/>
      <c r="AM674" s="26"/>
      <c r="AN674" s="26"/>
      <c r="AO674" s="26"/>
      <c r="AP674" s="26"/>
      <c r="AQ674" s="26"/>
      <c r="AR674" s="26"/>
      <c r="AS674" s="26"/>
      <c r="AT674" s="26"/>
      <c r="AU674" s="26"/>
      <c r="AV674" s="26"/>
      <c r="AW674" s="26"/>
      <c r="AX674" s="26"/>
      <c r="AY674" s="26"/>
    </row>
    <row r="675" spans="2:51">
      <c r="S675" s="26"/>
      <c r="T675" s="26"/>
      <c r="U675" s="26"/>
      <c r="V675" s="26"/>
      <c r="W675" s="26"/>
      <c r="X675" s="26"/>
      <c r="Y675" s="26"/>
      <c r="Z675" s="26"/>
      <c r="AA675" s="26"/>
      <c r="AB675" s="26"/>
      <c r="AC675" s="26"/>
      <c r="AD675" s="26"/>
      <c r="AE675" s="26"/>
      <c r="AF675" s="26"/>
      <c r="AG675" s="26"/>
      <c r="AH675" s="26"/>
      <c r="AI675" s="26"/>
      <c r="AJ675" s="26"/>
      <c r="AK675" s="26"/>
      <c r="AL675" s="26"/>
      <c r="AM675" s="26"/>
      <c r="AN675" s="26"/>
      <c r="AO675" s="26"/>
      <c r="AP675" s="26"/>
      <c r="AQ675" s="26"/>
      <c r="AR675" s="26"/>
      <c r="AS675" s="26"/>
      <c r="AT675" s="26"/>
      <c r="AU675" s="26"/>
      <c r="AV675" s="26"/>
      <c r="AW675" s="26"/>
      <c r="AX675" s="26"/>
      <c r="AY675" s="26"/>
    </row>
    <row r="676" spans="2:51">
      <c r="S676" s="26"/>
      <c r="T676" s="26"/>
      <c r="U676" s="26"/>
      <c r="V676" s="26"/>
      <c r="W676" s="26"/>
      <c r="X676" s="26"/>
      <c r="Y676" s="26"/>
      <c r="Z676" s="26"/>
      <c r="AA676" s="26"/>
      <c r="AB676" s="26"/>
      <c r="AC676" s="26"/>
      <c r="AD676" s="26"/>
      <c r="AE676" s="26"/>
      <c r="AF676" s="26"/>
      <c r="AG676" s="26"/>
      <c r="AH676" s="26"/>
      <c r="AI676" s="26"/>
      <c r="AJ676" s="26"/>
      <c r="AK676" s="26"/>
      <c r="AL676" s="26"/>
      <c r="AM676" s="26"/>
      <c r="AN676" s="26"/>
      <c r="AO676" s="26"/>
      <c r="AP676" s="26"/>
      <c r="AQ676" s="26"/>
      <c r="AR676" s="26"/>
      <c r="AS676" s="26"/>
      <c r="AT676" s="26"/>
      <c r="AU676" s="26"/>
      <c r="AV676" s="26"/>
      <c r="AW676" s="26"/>
      <c r="AX676" s="26"/>
      <c r="AY676" s="26"/>
    </row>
    <row r="677" spans="2:51">
      <c r="S677" s="26"/>
      <c r="T677" s="26"/>
      <c r="U677" s="26"/>
      <c r="V677" s="26"/>
      <c r="W677" s="26"/>
      <c r="X677" s="26"/>
      <c r="Y677" s="26"/>
      <c r="Z677" s="26"/>
      <c r="AA677" s="26"/>
      <c r="AB677" s="26"/>
      <c r="AC677" s="26"/>
      <c r="AD677" s="26"/>
      <c r="AE677" s="26"/>
      <c r="AF677" s="26"/>
      <c r="AG677" s="26"/>
      <c r="AH677" s="26"/>
      <c r="AI677" s="26"/>
      <c r="AJ677" s="26"/>
      <c r="AK677" s="26"/>
      <c r="AL677" s="26"/>
      <c r="AM677" s="26"/>
      <c r="AN677" s="26"/>
      <c r="AO677" s="26"/>
      <c r="AP677" s="26"/>
      <c r="AQ677" s="26"/>
      <c r="AR677" s="26"/>
      <c r="AS677" s="26"/>
      <c r="AT677" s="26"/>
      <c r="AU677" s="26"/>
      <c r="AV677" s="26"/>
      <c r="AW677" s="26"/>
      <c r="AX677" s="26"/>
      <c r="AY677" s="26"/>
    </row>
    <row r="678" spans="2:51">
      <c r="S678" s="26"/>
      <c r="T678" s="26"/>
      <c r="U678" s="26"/>
      <c r="V678" s="26"/>
      <c r="W678" s="26"/>
      <c r="X678" s="26"/>
      <c r="Y678" s="26"/>
      <c r="Z678" s="26"/>
      <c r="AA678" s="26"/>
      <c r="AB678" s="26"/>
      <c r="AC678" s="26"/>
      <c r="AD678" s="26"/>
      <c r="AE678" s="26"/>
      <c r="AF678" s="26"/>
      <c r="AG678" s="26"/>
      <c r="AH678" s="26"/>
      <c r="AI678" s="26"/>
      <c r="AJ678" s="26"/>
      <c r="AK678" s="26"/>
      <c r="AL678" s="26"/>
      <c r="AM678" s="26"/>
      <c r="AN678" s="26"/>
      <c r="AO678" s="26"/>
      <c r="AP678" s="26"/>
      <c r="AQ678" s="26"/>
      <c r="AR678" s="26"/>
      <c r="AS678" s="26"/>
      <c r="AT678" s="26"/>
      <c r="AU678" s="26"/>
      <c r="AV678" s="26"/>
      <c r="AW678" s="26"/>
      <c r="AX678" s="26"/>
      <c r="AY678" s="26"/>
    </row>
    <row r="679" spans="2:51">
      <c r="S679" s="26"/>
      <c r="T679" s="26"/>
      <c r="U679" s="26"/>
      <c r="V679" s="26"/>
      <c r="W679" s="26"/>
      <c r="X679" s="26"/>
      <c r="Y679" s="26"/>
      <c r="Z679" s="26"/>
      <c r="AA679" s="26"/>
      <c r="AB679" s="26"/>
      <c r="AC679" s="26"/>
      <c r="AD679" s="26"/>
      <c r="AE679" s="26"/>
      <c r="AF679" s="26"/>
      <c r="AG679" s="26"/>
      <c r="AH679" s="26"/>
      <c r="AI679" s="26"/>
      <c r="AJ679" s="26"/>
      <c r="AK679" s="26"/>
      <c r="AL679" s="26"/>
      <c r="AM679" s="26"/>
      <c r="AN679" s="26"/>
      <c r="AO679" s="26"/>
      <c r="AP679" s="26"/>
      <c r="AQ679" s="26"/>
      <c r="AR679" s="26"/>
      <c r="AS679" s="26"/>
      <c r="AT679" s="26"/>
      <c r="AU679" s="26"/>
      <c r="AV679" s="26"/>
      <c r="AW679" s="26"/>
      <c r="AX679" s="26"/>
      <c r="AY679" s="26"/>
    </row>
    <row r="680" spans="2:51">
      <c r="S680" s="26"/>
      <c r="T680" s="26"/>
      <c r="U680" s="26"/>
      <c r="V680" s="26"/>
      <c r="W680" s="26"/>
      <c r="X680" s="26"/>
      <c r="Y680" s="26"/>
      <c r="Z680" s="26"/>
      <c r="AA680" s="26"/>
      <c r="AB680" s="26"/>
      <c r="AC680" s="26"/>
      <c r="AD680" s="26"/>
      <c r="AE680" s="26"/>
      <c r="AF680" s="26"/>
      <c r="AG680" s="26"/>
      <c r="AH680" s="26"/>
      <c r="AI680" s="26"/>
      <c r="AJ680" s="26"/>
      <c r="AK680" s="26"/>
      <c r="AL680" s="26"/>
      <c r="AM680" s="26"/>
      <c r="AN680" s="26"/>
      <c r="AO680" s="26"/>
      <c r="AP680" s="26"/>
      <c r="AQ680" s="26"/>
      <c r="AR680" s="26"/>
      <c r="AS680" s="26"/>
      <c r="AT680" s="26"/>
      <c r="AU680" s="26"/>
      <c r="AV680" s="26"/>
      <c r="AW680" s="26"/>
      <c r="AX680" s="26"/>
      <c r="AY680" s="26"/>
    </row>
    <row r="681" spans="2:51">
      <c r="S681" s="26"/>
      <c r="T681" s="26"/>
      <c r="U681" s="26"/>
      <c r="V681" s="26"/>
      <c r="W681" s="26"/>
      <c r="X681" s="26"/>
      <c r="Y681" s="26"/>
      <c r="Z681" s="26"/>
      <c r="AA681" s="26"/>
      <c r="AB681" s="26"/>
      <c r="AC681" s="26"/>
      <c r="AD681" s="26"/>
      <c r="AE681" s="26"/>
      <c r="AF681" s="26"/>
      <c r="AG681" s="26"/>
      <c r="AH681" s="26"/>
      <c r="AI681" s="26"/>
      <c r="AJ681" s="26"/>
      <c r="AK681" s="26"/>
      <c r="AL681" s="26"/>
      <c r="AM681" s="26"/>
      <c r="AN681" s="26"/>
      <c r="AO681" s="26"/>
      <c r="AP681" s="26"/>
      <c r="AQ681" s="26"/>
      <c r="AR681" s="26"/>
      <c r="AS681" s="26"/>
      <c r="AT681" s="26"/>
      <c r="AU681" s="26"/>
      <c r="AV681" s="26"/>
      <c r="AW681" s="26"/>
      <c r="AX681" s="26"/>
      <c r="AY681" s="26"/>
    </row>
    <row r="682" spans="2:51" ht="15.6">
      <c r="B682" s="59" t="s">
        <v>167</v>
      </c>
      <c r="S682" s="26"/>
      <c r="T682" s="26"/>
      <c r="U682" s="26"/>
      <c r="V682" s="26"/>
      <c r="W682" s="26"/>
      <c r="X682" s="26"/>
      <c r="Y682" s="26"/>
      <c r="Z682" s="26"/>
      <c r="AA682" s="26"/>
      <c r="AB682" s="26"/>
      <c r="AC682" s="26"/>
      <c r="AD682" s="26"/>
      <c r="AE682" s="26"/>
      <c r="AF682" s="26"/>
      <c r="AG682" s="26"/>
      <c r="AH682" s="26"/>
      <c r="AI682" s="26"/>
      <c r="AJ682" s="26"/>
      <c r="AK682" s="26"/>
      <c r="AL682" s="26"/>
      <c r="AM682" s="26"/>
      <c r="AN682" s="26"/>
      <c r="AO682" s="26"/>
      <c r="AP682" s="26"/>
      <c r="AQ682" s="26"/>
      <c r="AR682" s="26"/>
      <c r="AS682" s="26"/>
      <c r="AT682" s="26"/>
      <c r="AU682" s="26"/>
      <c r="AV682" s="26"/>
      <c r="AW682" s="26"/>
      <c r="AX682" s="26"/>
      <c r="AY682" s="26"/>
    </row>
    <row r="683" spans="2:51">
      <c r="S683" s="26"/>
      <c r="T683" s="26"/>
      <c r="U683" s="26"/>
      <c r="V683" s="26"/>
      <c r="W683" s="26"/>
      <c r="X683" s="26"/>
      <c r="Y683" s="26"/>
      <c r="Z683" s="26"/>
      <c r="AA683" s="26"/>
      <c r="AB683" s="26"/>
      <c r="AC683" s="26"/>
      <c r="AD683" s="26"/>
      <c r="AE683" s="26"/>
      <c r="AF683" s="26"/>
      <c r="AG683" s="26"/>
      <c r="AH683" s="26"/>
      <c r="AI683" s="26"/>
      <c r="AJ683" s="26"/>
      <c r="AK683" s="26"/>
      <c r="AL683" s="26"/>
      <c r="AM683" s="26"/>
      <c r="AN683" s="26"/>
      <c r="AO683" s="26"/>
      <c r="AP683" s="26"/>
      <c r="AQ683" s="26"/>
      <c r="AR683" s="26"/>
      <c r="AS683" s="26"/>
      <c r="AT683" s="26"/>
      <c r="AU683" s="26"/>
      <c r="AV683" s="26"/>
      <c r="AW683" s="26"/>
      <c r="AX683" s="26"/>
      <c r="AY683" s="26"/>
    </row>
    <row r="684" spans="2:51">
      <c r="S684" s="26"/>
      <c r="T684" s="26"/>
      <c r="U684" s="26"/>
      <c r="V684" s="26"/>
      <c r="W684" s="26"/>
      <c r="X684" s="26"/>
      <c r="Y684" s="26"/>
      <c r="Z684" s="26"/>
      <c r="AA684" s="26"/>
      <c r="AB684" s="26"/>
      <c r="AC684" s="26"/>
      <c r="AD684" s="26"/>
      <c r="AE684" s="26"/>
      <c r="AF684" s="26"/>
      <c r="AG684" s="26"/>
      <c r="AH684" s="26"/>
      <c r="AI684" s="26"/>
      <c r="AJ684" s="26"/>
      <c r="AK684" s="26"/>
      <c r="AL684" s="26"/>
      <c r="AM684" s="26"/>
      <c r="AN684" s="26"/>
      <c r="AO684" s="26"/>
      <c r="AP684" s="26"/>
      <c r="AQ684" s="26"/>
      <c r="AR684" s="26"/>
      <c r="AS684" s="26"/>
      <c r="AT684" s="26"/>
      <c r="AU684" s="26"/>
      <c r="AV684" s="26"/>
      <c r="AW684" s="26"/>
      <c r="AX684" s="26"/>
      <c r="AY684" s="26"/>
    </row>
    <row r="685" spans="2:51">
      <c r="S685" s="26"/>
      <c r="T685" s="26"/>
      <c r="U685" s="26"/>
      <c r="V685" s="26"/>
      <c r="W685" s="26"/>
      <c r="X685" s="26"/>
      <c r="Y685" s="26"/>
      <c r="Z685" s="26"/>
      <c r="AA685" s="26"/>
      <c r="AB685" s="26"/>
      <c r="AC685" s="26"/>
      <c r="AD685" s="26"/>
      <c r="AE685" s="26"/>
      <c r="AF685" s="26"/>
      <c r="AG685" s="26"/>
      <c r="AH685" s="26"/>
      <c r="AI685" s="26"/>
      <c r="AJ685" s="26"/>
      <c r="AK685" s="26"/>
      <c r="AL685" s="26"/>
      <c r="AM685" s="26"/>
      <c r="AN685" s="26"/>
      <c r="AO685" s="26"/>
      <c r="AP685" s="26"/>
      <c r="AQ685" s="26"/>
      <c r="AR685" s="26"/>
      <c r="AS685" s="26"/>
      <c r="AT685" s="26"/>
      <c r="AU685" s="26"/>
      <c r="AV685" s="26"/>
      <c r="AW685" s="26"/>
      <c r="AX685" s="26"/>
      <c r="AY685" s="26"/>
    </row>
    <row r="686" spans="2:51">
      <c r="S686" s="26"/>
      <c r="T686" s="26"/>
      <c r="U686" s="26"/>
      <c r="V686" s="26"/>
      <c r="W686" s="26"/>
      <c r="X686" s="26"/>
      <c r="Y686" s="26"/>
      <c r="Z686" s="26"/>
      <c r="AA686" s="26"/>
      <c r="AB686" s="26"/>
      <c r="AC686" s="26"/>
      <c r="AD686" s="26"/>
      <c r="AE686" s="26"/>
      <c r="AF686" s="26"/>
      <c r="AG686" s="26"/>
      <c r="AH686" s="26"/>
      <c r="AI686" s="26"/>
      <c r="AJ686" s="26"/>
      <c r="AK686" s="26"/>
      <c r="AL686" s="26"/>
      <c r="AM686" s="26"/>
      <c r="AN686" s="26"/>
      <c r="AO686" s="26"/>
      <c r="AP686" s="26"/>
      <c r="AQ686" s="26"/>
      <c r="AR686" s="26"/>
      <c r="AS686" s="26"/>
      <c r="AT686" s="26"/>
      <c r="AU686" s="26"/>
      <c r="AV686" s="26"/>
      <c r="AW686" s="26"/>
      <c r="AX686" s="26"/>
      <c r="AY686" s="26"/>
    </row>
    <row r="687" spans="2:51">
      <c r="S687" s="26"/>
      <c r="T687" s="26"/>
      <c r="U687" s="26"/>
      <c r="V687" s="26"/>
      <c r="W687" s="26"/>
      <c r="X687" s="26"/>
      <c r="Y687" s="26"/>
      <c r="Z687" s="26"/>
      <c r="AA687" s="26"/>
      <c r="AB687" s="26"/>
      <c r="AC687" s="26"/>
      <c r="AD687" s="26"/>
      <c r="AE687" s="26"/>
      <c r="AF687" s="26"/>
      <c r="AG687" s="26"/>
      <c r="AH687" s="26"/>
      <c r="AI687" s="26"/>
      <c r="AJ687" s="26"/>
      <c r="AK687" s="26"/>
      <c r="AL687" s="26"/>
      <c r="AM687" s="26"/>
      <c r="AN687" s="26"/>
      <c r="AO687" s="26"/>
      <c r="AP687" s="26"/>
      <c r="AQ687" s="26"/>
      <c r="AR687" s="26"/>
      <c r="AS687" s="26"/>
      <c r="AT687" s="26"/>
      <c r="AU687" s="26"/>
      <c r="AV687" s="26"/>
      <c r="AW687" s="26"/>
      <c r="AX687" s="26"/>
      <c r="AY687" s="26"/>
    </row>
    <row r="688" spans="2:51">
      <c r="S688" s="26"/>
      <c r="T688" s="26"/>
      <c r="U688" s="26"/>
      <c r="V688" s="26"/>
      <c r="W688" s="26"/>
      <c r="X688" s="26"/>
      <c r="Y688" s="26"/>
      <c r="Z688" s="26"/>
      <c r="AA688" s="26"/>
      <c r="AB688" s="26"/>
      <c r="AC688" s="26"/>
      <c r="AD688" s="26"/>
      <c r="AE688" s="26"/>
      <c r="AF688" s="26"/>
      <c r="AG688" s="26"/>
      <c r="AH688" s="26"/>
      <c r="AI688" s="26"/>
      <c r="AJ688" s="26"/>
      <c r="AK688" s="26"/>
      <c r="AL688" s="26"/>
      <c r="AM688" s="26"/>
      <c r="AN688" s="26"/>
      <c r="AO688" s="26"/>
      <c r="AP688" s="26"/>
      <c r="AQ688" s="26"/>
      <c r="AR688" s="26"/>
      <c r="AS688" s="26"/>
      <c r="AT688" s="26"/>
      <c r="AU688" s="26"/>
      <c r="AV688" s="26"/>
      <c r="AW688" s="26"/>
      <c r="AX688" s="26"/>
      <c r="AY688" s="26"/>
    </row>
    <row r="689" spans="19:51">
      <c r="S689" s="26"/>
      <c r="T689" s="26"/>
      <c r="U689" s="26"/>
      <c r="V689" s="26"/>
      <c r="W689" s="26"/>
      <c r="X689" s="26"/>
      <c r="Y689" s="26"/>
      <c r="Z689" s="26"/>
      <c r="AA689" s="26"/>
      <c r="AB689" s="26"/>
      <c r="AC689" s="26"/>
      <c r="AD689" s="26"/>
      <c r="AE689" s="26"/>
      <c r="AF689" s="26"/>
      <c r="AG689" s="26"/>
      <c r="AH689" s="26"/>
      <c r="AI689" s="26"/>
      <c r="AJ689" s="26"/>
      <c r="AK689" s="26"/>
      <c r="AL689" s="26"/>
      <c r="AM689" s="26"/>
      <c r="AN689" s="26"/>
      <c r="AO689" s="26"/>
      <c r="AP689" s="26"/>
      <c r="AQ689" s="26"/>
      <c r="AR689" s="26"/>
      <c r="AS689" s="26"/>
      <c r="AT689" s="26"/>
      <c r="AU689" s="26"/>
      <c r="AV689" s="26"/>
      <c r="AW689" s="26"/>
      <c r="AX689" s="26"/>
      <c r="AY689" s="26"/>
    </row>
    <row r="690" spans="19:51">
      <c r="S690" s="26"/>
      <c r="T690" s="26"/>
      <c r="U690" s="26"/>
      <c r="V690" s="26"/>
      <c r="W690" s="26"/>
      <c r="X690" s="26"/>
      <c r="Y690" s="26"/>
      <c r="Z690" s="26"/>
      <c r="AA690" s="26"/>
      <c r="AB690" s="26"/>
      <c r="AC690" s="26"/>
      <c r="AD690" s="26"/>
      <c r="AE690" s="26"/>
      <c r="AF690" s="26"/>
      <c r="AG690" s="26"/>
      <c r="AH690" s="26"/>
      <c r="AI690" s="26"/>
      <c r="AJ690" s="26"/>
      <c r="AK690" s="26"/>
      <c r="AL690" s="26"/>
      <c r="AM690" s="26"/>
      <c r="AN690" s="26"/>
      <c r="AO690" s="26"/>
      <c r="AP690" s="26"/>
      <c r="AQ690" s="26"/>
      <c r="AR690" s="26"/>
      <c r="AS690" s="26"/>
      <c r="AT690" s="26"/>
      <c r="AU690" s="26"/>
      <c r="AV690" s="26"/>
      <c r="AW690" s="26"/>
      <c r="AX690" s="26"/>
      <c r="AY690" s="26"/>
    </row>
    <row r="691" spans="19:51">
      <c r="S691" s="26"/>
      <c r="T691" s="26"/>
      <c r="U691" s="26"/>
      <c r="V691" s="26"/>
      <c r="W691" s="26"/>
      <c r="X691" s="26"/>
      <c r="Y691" s="26"/>
      <c r="Z691" s="26"/>
      <c r="AA691" s="26"/>
      <c r="AB691" s="26"/>
      <c r="AC691" s="26"/>
      <c r="AD691" s="26"/>
      <c r="AE691" s="26"/>
      <c r="AF691" s="26"/>
      <c r="AG691" s="26"/>
      <c r="AH691" s="26"/>
      <c r="AI691" s="26"/>
      <c r="AJ691" s="26"/>
      <c r="AK691" s="26"/>
      <c r="AL691" s="26"/>
      <c r="AM691" s="26"/>
      <c r="AN691" s="26"/>
      <c r="AO691" s="26"/>
      <c r="AP691" s="26"/>
      <c r="AQ691" s="26"/>
      <c r="AR691" s="26"/>
      <c r="AS691" s="26"/>
      <c r="AT691" s="26"/>
      <c r="AU691" s="26"/>
      <c r="AV691" s="26"/>
      <c r="AW691" s="26"/>
      <c r="AX691" s="26"/>
      <c r="AY691" s="26"/>
    </row>
    <row r="692" spans="19:51">
      <c r="S692" s="26"/>
      <c r="T692" s="26"/>
      <c r="U692" s="26"/>
      <c r="V692" s="26"/>
      <c r="W692" s="26"/>
      <c r="X692" s="26"/>
      <c r="Y692" s="26"/>
      <c r="Z692" s="26"/>
      <c r="AA692" s="26"/>
      <c r="AB692" s="26"/>
      <c r="AC692" s="26"/>
      <c r="AD692" s="26"/>
      <c r="AE692" s="26"/>
      <c r="AF692" s="26"/>
      <c r="AG692" s="26"/>
      <c r="AH692" s="26"/>
      <c r="AI692" s="26"/>
      <c r="AJ692" s="26"/>
      <c r="AK692" s="26"/>
      <c r="AL692" s="26"/>
      <c r="AM692" s="26"/>
      <c r="AN692" s="26"/>
      <c r="AO692" s="26"/>
      <c r="AP692" s="26"/>
      <c r="AQ692" s="26"/>
      <c r="AR692" s="26"/>
      <c r="AS692" s="26"/>
      <c r="AT692" s="26"/>
      <c r="AU692" s="26"/>
      <c r="AV692" s="26"/>
      <c r="AW692" s="26"/>
      <c r="AX692" s="26"/>
      <c r="AY692" s="26"/>
    </row>
    <row r="693" spans="19:51">
      <c r="S693" s="26"/>
      <c r="T693" s="26"/>
      <c r="U693" s="26"/>
      <c r="V693" s="26"/>
      <c r="W693" s="26"/>
      <c r="X693" s="26"/>
      <c r="Y693" s="26"/>
      <c r="Z693" s="26"/>
      <c r="AA693" s="26"/>
      <c r="AB693" s="26"/>
      <c r="AC693" s="26"/>
      <c r="AD693" s="26"/>
      <c r="AE693" s="26"/>
      <c r="AF693" s="26"/>
      <c r="AG693" s="26"/>
      <c r="AH693" s="26"/>
      <c r="AI693" s="26"/>
      <c r="AJ693" s="26"/>
      <c r="AK693" s="26"/>
      <c r="AL693" s="26"/>
      <c r="AM693" s="26"/>
      <c r="AN693" s="26"/>
      <c r="AO693" s="26"/>
      <c r="AP693" s="26"/>
      <c r="AQ693" s="26"/>
      <c r="AR693" s="26"/>
      <c r="AS693" s="26"/>
      <c r="AT693" s="26"/>
      <c r="AU693" s="26"/>
      <c r="AV693" s="26"/>
      <c r="AW693" s="26"/>
      <c r="AX693" s="26"/>
      <c r="AY693" s="26"/>
    </row>
    <row r="694" spans="19:51">
      <c r="S694" s="26"/>
      <c r="T694" s="26"/>
      <c r="U694" s="26"/>
      <c r="V694" s="26"/>
      <c r="W694" s="26"/>
      <c r="X694" s="26"/>
      <c r="Y694" s="26"/>
      <c r="Z694" s="26"/>
      <c r="AA694" s="26"/>
      <c r="AB694" s="26"/>
      <c r="AC694" s="26"/>
      <c r="AD694" s="26"/>
      <c r="AE694" s="26"/>
      <c r="AF694" s="26"/>
      <c r="AG694" s="26"/>
      <c r="AH694" s="26"/>
      <c r="AI694" s="26"/>
      <c r="AJ694" s="26"/>
      <c r="AK694" s="26"/>
      <c r="AL694" s="26"/>
      <c r="AM694" s="26"/>
      <c r="AN694" s="26"/>
      <c r="AO694" s="26"/>
      <c r="AP694" s="26"/>
      <c r="AQ694" s="26"/>
      <c r="AR694" s="26"/>
      <c r="AS694" s="26"/>
      <c r="AT694" s="26"/>
      <c r="AU694" s="26"/>
      <c r="AV694" s="26"/>
      <c r="AW694" s="26"/>
      <c r="AX694" s="26"/>
      <c r="AY694" s="26"/>
    </row>
    <row r="695" spans="19:51">
      <c r="S695" s="26"/>
      <c r="T695" s="26"/>
      <c r="U695" s="26"/>
      <c r="V695" s="26"/>
      <c r="W695" s="26"/>
      <c r="X695" s="26"/>
      <c r="Y695" s="26"/>
      <c r="Z695" s="26"/>
      <c r="AA695" s="26"/>
      <c r="AB695" s="26"/>
      <c r="AC695" s="26"/>
      <c r="AD695" s="26"/>
      <c r="AE695" s="26"/>
      <c r="AF695" s="26"/>
      <c r="AG695" s="26"/>
      <c r="AH695" s="26"/>
      <c r="AI695" s="26"/>
      <c r="AJ695" s="26"/>
      <c r="AK695" s="26"/>
      <c r="AL695" s="26"/>
      <c r="AM695" s="26"/>
      <c r="AN695" s="26"/>
      <c r="AO695" s="26"/>
      <c r="AP695" s="26"/>
      <c r="AQ695" s="26"/>
      <c r="AR695" s="26"/>
      <c r="AS695" s="26"/>
      <c r="AT695" s="26"/>
      <c r="AU695" s="26"/>
      <c r="AV695" s="26"/>
      <c r="AW695" s="26"/>
      <c r="AX695" s="26"/>
      <c r="AY695" s="26"/>
    </row>
    <row r="696" spans="19:51">
      <c r="S696" s="26"/>
      <c r="T696" s="26"/>
      <c r="U696" s="26"/>
      <c r="V696" s="26"/>
      <c r="W696" s="26"/>
      <c r="X696" s="26"/>
      <c r="Y696" s="26"/>
      <c r="Z696" s="26"/>
      <c r="AA696" s="26"/>
      <c r="AB696" s="26"/>
      <c r="AC696" s="26"/>
      <c r="AD696" s="26"/>
      <c r="AE696" s="26"/>
      <c r="AF696" s="26"/>
      <c r="AG696" s="26"/>
      <c r="AH696" s="26"/>
      <c r="AI696" s="26"/>
      <c r="AJ696" s="26"/>
      <c r="AK696" s="26"/>
      <c r="AL696" s="26"/>
      <c r="AM696" s="26"/>
      <c r="AN696" s="26"/>
      <c r="AO696" s="26"/>
      <c r="AP696" s="26"/>
      <c r="AQ696" s="26"/>
      <c r="AR696" s="26"/>
      <c r="AS696" s="26"/>
      <c r="AT696" s="26"/>
      <c r="AU696" s="26"/>
      <c r="AV696" s="26"/>
      <c r="AW696" s="26"/>
      <c r="AX696" s="26"/>
      <c r="AY696" s="26"/>
    </row>
    <row r="697" spans="19:51">
      <c r="S697" s="26"/>
      <c r="T697" s="26"/>
      <c r="U697" s="26"/>
      <c r="V697" s="26"/>
      <c r="W697" s="26"/>
      <c r="X697" s="26"/>
      <c r="Y697" s="26"/>
      <c r="Z697" s="26"/>
      <c r="AA697" s="26"/>
      <c r="AB697" s="26"/>
      <c r="AC697" s="26"/>
      <c r="AD697" s="26"/>
      <c r="AE697" s="26"/>
      <c r="AF697" s="26"/>
      <c r="AG697" s="26"/>
      <c r="AH697" s="26"/>
      <c r="AI697" s="26"/>
      <c r="AJ697" s="26"/>
      <c r="AK697" s="26"/>
      <c r="AL697" s="26"/>
      <c r="AM697" s="26"/>
      <c r="AN697" s="26"/>
      <c r="AO697" s="26"/>
      <c r="AP697" s="26"/>
      <c r="AQ697" s="26"/>
      <c r="AR697" s="26"/>
      <c r="AS697" s="26"/>
      <c r="AT697" s="26"/>
      <c r="AU697" s="26"/>
      <c r="AV697" s="26"/>
      <c r="AW697" s="26"/>
      <c r="AX697" s="26"/>
      <c r="AY697" s="26"/>
    </row>
    <row r="698" spans="19:51">
      <c r="S698" s="26"/>
      <c r="T698" s="26"/>
      <c r="U698" s="26"/>
      <c r="V698" s="26"/>
      <c r="W698" s="26"/>
      <c r="X698" s="26"/>
      <c r="Y698" s="26"/>
      <c r="Z698" s="26"/>
      <c r="AA698" s="26"/>
      <c r="AB698" s="26"/>
      <c r="AC698" s="26"/>
      <c r="AD698" s="26"/>
      <c r="AE698" s="26"/>
      <c r="AF698" s="26"/>
      <c r="AG698" s="26"/>
      <c r="AH698" s="26"/>
      <c r="AI698" s="26"/>
      <c r="AJ698" s="26"/>
      <c r="AK698" s="26"/>
      <c r="AL698" s="26"/>
      <c r="AM698" s="26"/>
      <c r="AN698" s="26"/>
      <c r="AO698" s="26"/>
      <c r="AP698" s="26"/>
      <c r="AQ698" s="26"/>
      <c r="AR698" s="26"/>
      <c r="AS698" s="26"/>
      <c r="AT698" s="26"/>
      <c r="AU698" s="26"/>
      <c r="AV698" s="26"/>
      <c r="AW698" s="26"/>
      <c r="AX698" s="26"/>
      <c r="AY698" s="26"/>
    </row>
    <row r="699" spans="19:51">
      <c r="S699" s="26"/>
      <c r="T699" s="26"/>
      <c r="U699" s="26"/>
      <c r="V699" s="26"/>
      <c r="W699" s="26"/>
      <c r="X699" s="26"/>
      <c r="Y699" s="26"/>
      <c r="Z699" s="26"/>
      <c r="AA699" s="26"/>
      <c r="AB699" s="26"/>
      <c r="AC699" s="26"/>
      <c r="AD699" s="26"/>
      <c r="AE699" s="26"/>
      <c r="AF699" s="26"/>
      <c r="AG699" s="26"/>
      <c r="AH699" s="26"/>
      <c r="AI699" s="26"/>
      <c r="AJ699" s="26"/>
      <c r="AK699" s="26"/>
      <c r="AL699" s="26"/>
      <c r="AM699" s="26"/>
      <c r="AN699" s="26"/>
      <c r="AO699" s="26"/>
      <c r="AP699" s="26"/>
      <c r="AQ699" s="26"/>
      <c r="AR699" s="26"/>
      <c r="AS699" s="26"/>
      <c r="AT699" s="26"/>
      <c r="AU699" s="26"/>
      <c r="AV699" s="26"/>
      <c r="AW699" s="26"/>
      <c r="AX699" s="26"/>
      <c r="AY699" s="26"/>
    </row>
    <row r="700" spans="19:51">
      <c r="S700" s="26"/>
      <c r="T700" s="26"/>
      <c r="U700" s="26"/>
      <c r="V700" s="26"/>
      <c r="W700" s="26"/>
      <c r="X700" s="26"/>
      <c r="Y700" s="26"/>
      <c r="Z700" s="26"/>
      <c r="AA700" s="26"/>
      <c r="AB700" s="26"/>
      <c r="AC700" s="26"/>
      <c r="AD700" s="26"/>
      <c r="AE700" s="26"/>
      <c r="AF700" s="26"/>
      <c r="AG700" s="26"/>
      <c r="AH700" s="26"/>
      <c r="AI700" s="26"/>
      <c r="AJ700" s="26"/>
      <c r="AK700" s="26"/>
      <c r="AL700" s="26"/>
      <c r="AM700" s="26"/>
      <c r="AN700" s="26"/>
      <c r="AO700" s="26"/>
      <c r="AP700" s="26"/>
      <c r="AQ700" s="26"/>
      <c r="AR700" s="26"/>
      <c r="AS700" s="26"/>
      <c r="AT700" s="26"/>
      <c r="AU700" s="26"/>
      <c r="AV700" s="26"/>
      <c r="AW700" s="26"/>
      <c r="AX700" s="26"/>
      <c r="AY700" s="26"/>
    </row>
    <row r="701" spans="19:51">
      <c r="S701" s="26"/>
      <c r="T701" s="26"/>
      <c r="U701" s="26"/>
      <c r="V701" s="26"/>
      <c r="W701" s="26"/>
      <c r="X701" s="26"/>
      <c r="Y701" s="26"/>
      <c r="Z701" s="26"/>
      <c r="AA701" s="26"/>
      <c r="AB701" s="26"/>
      <c r="AC701" s="26"/>
      <c r="AD701" s="26"/>
      <c r="AE701" s="26"/>
      <c r="AF701" s="26"/>
      <c r="AG701" s="26"/>
      <c r="AH701" s="26"/>
      <c r="AI701" s="26"/>
      <c r="AJ701" s="26"/>
      <c r="AK701" s="26"/>
      <c r="AL701" s="26"/>
      <c r="AM701" s="26"/>
      <c r="AN701" s="26"/>
      <c r="AO701" s="26"/>
      <c r="AP701" s="26"/>
      <c r="AQ701" s="26"/>
      <c r="AR701" s="26"/>
      <c r="AS701" s="26"/>
      <c r="AT701" s="26"/>
      <c r="AU701" s="26"/>
      <c r="AV701" s="26"/>
      <c r="AW701" s="26"/>
      <c r="AX701" s="26"/>
      <c r="AY701" s="26"/>
    </row>
    <row r="702" spans="19:51">
      <c r="S702" s="26"/>
      <c r="T702" s="26"/>
      <c r="U702" s="26"/>
      <c r="V702" s="26"/>
      <c r="W702" s="26"/>
      <c r="X702" s="26"/>
      <c r="Y702" s="26"/>
      <c r="Z702" s="26"/>
      <c r="AA702" s="26"/>
      <c r="AB702" s="26"/>
      <c r="AC702" s="26"/>
      <c r="AD702" s="26"/>
      <c r="AE702" s="26"/>
      <c r="AF702" s="26"/>
      <c r="AG702" s="26"/>
      <c r="AH702" s="26"/>
      <c r="AI702" s="26"/>
      <c r="AJ702" s="26"/>
      <c r="AK702" s="26"/>
      <c r="AL702" s="26"/>
      <c r="AM702" s="26"/>
      <c r="AN702" s="26"/>
      <c r="AO702" s="26"/>
      <c r="AP702" s="26"/>
      <c r="AQ702" s="26"/>
      <c r="AR702" s="26"/>
      <c r="AS702" s="26"/>
      <c r="AT702" s="26"/>
      <c r="AU702" s="26"/>
      <c r="AV702" s="26"/>
      <c r="AW702" s="26"/>
      <c r="AX702" s="26"/>
      <c r="AY702" s="26"/>
    </row>
    <row r="703" spans="19:51">
      <c r="S703" s="26"/>
      <c r="T703" s="26"/>
      <c r="U703" s="26"/>
      <c r="V703" s="26"/>
      <c r="W703" s="26"/>
      <c r="X703" s="26"/>
      <c r="Y703" s="26"/>
      <c r="Z703" s="26"/>
      <c r="AA703" s="26"/>
      <c r="AB703" s="26"/>
      <c r="AC703" s="26"/>
      <c r="AD703" s="26"/>
      <c r="AE703" s="26"/>
      <c r="AF703" s="26"/>
      <c r="AG703" s="26"/>
      <c r="AH703" s="26"/>
      <c r="AI703" s="26"/>
      <c r="AJ703" s="26"/>
      <c r="AK703" s="26"/>
      <c r="AL703" s="26"/>
      <c r="AM703" s="26"/>
      <c r="AN703" s="26"/>
      <c r="AO703" s="26"/>
      <c r="AP703" s="26"/>
      <c r="AQ703" s="26"/>
      <c r="AR703" s="26"/>
      <c r="AS703" s="26"/>
      <c r="AT703" s="26"/>
      <c r="AU703" s="26"/>
      <c r="AV703" s="26"/>
      <c r="AW703" s="26"/>
      <c r="AX703" s="26"/>
      <c r="AY703" s="26"/>
    </row>
    <row r="704" spans="19:51">
      <c r="S704" s="26"/>
      <c r="T704" s="26"/>
      <c r="U704" s="26"/>
      <c r="V704" s="26"/>
      <c r="W704" s="26"/>
      <c r="X704" s="26"/>
      <c r="Y704" s="26"/>
      <c r="Z704" s="26"/>
      <c r="AA704" s="26"/>
      <c r="AB704" s="26"/>
      <c r="AC704" s="26"/>
      <c r="AD704" s="26"/>
      <c r="AE704" s="26"/>
      <c r="AF704" s="26"/>
      <c r="AG704" s="26"/>
      <c r="AH704" s="26"/>
      <c r="AI704" s="26"/>
      <c r="AJ704" s="26"/>
      <c r="AK704" s="26"/>
      <c r="AL704" s="26"/>
      <c r="AM704" s="26"/>
      <c r="AN704" s="26"/>
      <c r="AO704" s="26"/>
      <c r="AP704" s="26"/>
      <c r="AQ704" s="26"/>
      <c r="AR704" s="26"/>
      <c r="AS704" s="26"/>
      <c r="AT704" s="26"/>
      <c r="AU704" s="26"/>
      <c r="AV704" s="26"/>
      <c r="AW704" s="26"/>
      <c r="AX704" s="26"/>
      <c r="AY704" s="26"/>
    </row>
    <row r="705" spans="1:51">
      <c r="S705" s="26"/>
      <c r="T705" s="26"/>
      <c r="U705" s="26"/>
      <c r="V705" s="26"/>
      <c r="W705" s="26"/>
      <c r="X705" s="26"/>
      <c r="Y705" s="26"/>
      <c r="Z705" s="26"/>
      <c r="AA705" s="26"/>
      <c r="AB705" s="26"/>
      <c r="AC705" s="26"/>
      <c r="AD705" s="26"/>
      <c r="AE705" s="26"/>
      <c r="AF705" s="26"/>
      <c r="AG705" s="26"/>
      <c r="AH705" s="26"/>
      <c r="AI705" s="26"/>
      <c r="AJ705" s="26"/>
      <c r="AK705" s="26"/>
      <c r="AL705" s="26"/>
      <c r="AM705" s="26"/>
      <c r="AN705" s="26"/>
      <c r="AO705" s="26"/>
      <c r="AP705" s="26"/>
      <c r="AQ705" s="26"/>
      <c r="AR705" s="26"/>
      <c r="AS705" s="26"/>
      <c r="AT705" s="26"/>
      <c r="AU705" s="26"/>
      <c r="AV705" s="26"/>
      <c r="AW705" s="26"/>
      <c r="AX705" s="26"/>
      <c r="AY705" s="26"/>
    </row>
    <row r="706" spans="1:51">
      <c r="S706" s="26"/>
      <c r="T706" s="26"/>
      <c r="U706" s="26"/>
      <c r="V706" s="26"/>
      <c r="W706" s="26"/>
      <c r="X706" s="26"/>
      <c r="Y706" s="26"/>
      <c r="Z706" s="26"/>
      <c r="AA706" s="26"/>
      <c r="AB706" s="26"/>
      <c r="AC706" s="26"/>
      <c r="AD706" s="26"/>
      <c r="AE706" s="26"/>
      <c r="AF706" s="26"/>
      <c r="AG706" s="26"/>
      <c r="AH706" s="26"/>
      <c r="AI706" s="26"/>
      <c r="AJ706" s="26"/>
      <c r="AK706" s="26"/>
      <c r="AL706" s="26"/>
      <c r="AM706" s="26"/>
      <c r="AN706" s="26"/>
      <c r="AO706" s="26"/>
      <c r="AP706" s="26"/>
      <c r="AQ706" s="26"/>
      <c r="AR706" s="26"/>
      <c r="AS706" s="26"/>
      <c r="AT706" s="26"/>
      <c r="AU706" s="26"/>
      <c r="AV706" s="26"/>
      <c r="AW706" s="26"/>
      <c r="AX706" s="26"/>
      <c r="AY706" s="26"/>
    </row>
    <row r="707" spans="1:51">
      <c r="S707" s="26"/>
      <c r="T707" s="26"/>
      <c r="U707" s="26"/>
      <c r="V707" s="26"/>
      <c r="W707" s="26"/>
      <c r="X707" s="26"/>
      <c r="Y707" s="26"/>
      <c r="Z707" s="26"/>
      <c r="AA707" s="26"/>
      <c r="AB707" s="26"/>
      <c r="AC707" s="26"/>
      <c r="AD707" s="26"/>
      <c r="AE707" s="26"/>
      <c r="AF707" s="26"/>
      <c r="AG707" s="26"/>
      <c r="AH707" s="26"/>
      <c r="AI707" s="26"/>
      <c r="AJ707" s="26"/>
      <c r="AK707" s="26"/>
      <c r="AL707" s="26"/>
      <c r="AM707" s="26"/>
      <c r="AN707" s="26"/>
      <c r="AO707" s="26"/>
      <c r="AP707" s="26"/>
      <c r="AQ707" s="26"/>
      <c r="AR707" s="26"/>
      <c r="AS707" s="26"/>
      <c r="AT707" s="26"/>
      <c r="AU707" s="26"/>
      <c r="AV707" s="26"/>
      <c r="AW707" s="26"/>
      <c r="AX707" s="26"/>
      <c r="AY707" s="26"/>
    </row>
    <row r="708" spans="1:51">
      <c r="S708" s="26"/>
      <c r="T708" s="26"/>
      <c r="U708" s="26"/>
      <c r="V708" s="26"/>
      <c r="W708" s="26"/>
      <c r="X708" s="26"/>
      <c r="Y708" s="26"/>
      <c r="Z708" s="26"/>
      <c r="AA708" s="26"/>
      <c r="AB708" s="26"/>
      <c r="AC708" s="26"/>
      <c r="AD708" s="26"/>
      <c r="AE708" s="26"/>
      <c r="AF708" s="26"/>
      <c r="AG708" s="26"/>
      <c r="AH708" s="26"/>
      <c r="AI708" s="26"/>
      <c r="AJ708" s="26"/>
      <c r="AK708" s="26"/>
      <c r="AL708" s="26"/>
      <c r="AM708" s="26"/>
      <c r="AN708" s="26"/>
      <c r="AO708" s="26"/>
      <c r="AP708" s="26"/>
      <c r="AQ708" s="26"/>
      <c r="AR708" s="26"/>
      <c r="AS708" s="26"/>
      <c r="AT708" s="26"/>
      <c r="AU708" s="26"/>
      <c r="AV708" s="26"/>
      <c r="AW708" s="26"/>
      <c r="AX708" s="26"/>
      <c r="AY708" s="26"/>
    </row>
    <row r="709" spans="1:51">
      <c r="S709" s="26"/>
      <c r="T709" s="26"/>
      <c r="U709" s="26"/>
      <c r="V709" s="26"/>
      <c r="W709" s="26"/>
      <c r="X709" s="26"/>
      <c r="Y709" s="26"/>
      <c r="Z709" s="26"/>
      <c r="AA709" s="26"/>
      <c r="AB709" s="26"/>
      <c r="AC709" s="26"/>
      <c r="AD709" s="26"/>
      <c r="AE709" s="26"/>
      <c r="AF709" s="26"/>
      <c r="AG709" s="26"/>
      <c r="AH709" s="26"/>
      <c r="AI709" s="26"/>
      <c r="AJ709" s="26"/>
      <c r="AK709" s="26"/>
      <c r="AL709" s="26"/>
      <c r="AM709" s="26"/>
      <c r="AN709" s="26"/>
      <c r="AO709" s="26"/>
      <c r="AP709" s="26"/>
      <c r="AQ709" s="26"/>
      <c r="AR709" s="26"/>
      <c r="AS709" s="26"/>
      <c r="AT709" s="26"/>
      <c r="AU709" s="26"/>
      <c r="AV709" s="26"/>
      <c r="AW709" s="26"/>
      <c r="AX709" s="26"/>
      <c r="AY709" s="26"/>
    </row>
    <row r="710" spans="1:51">
      <c r="S710" s="26"/>
      <c r="T710" s="26"/>
      <c r="U710" s="26"/>
      <c r="V710" s="26"/>
      <c r="W710" s="26"/>
      <c r="X710" s="26"/>
      <c r="Y710" s="26"/>
      <c r="Z710" s="26"/>
      <c r="AA710" s="26"/>
      <c r="AB710" s="26"/>
      <c r="AC710" s="26"/>
      <c r="AD710" s="26"/>
      <c r="AE710" s="26"/>
      <c r="AF710" s="26"/>
      <c r="AG710" s="26"/>
      <c r="AH710" s="26"/>
      <c r="AI710" s="26"/>
      <c r="AJ710" s="26"/>
      <c r="AK710" s="26"/>
      <c r="AL710" s="26"/>
      <c r="AM710" s="26"/>
      <c r="AN710" s="26"/>
      <c r="AO710" s="26"/>
      <c r="AP710" s="26"/>
      <c r="AQ710" s="26"/>
      <c r="AR710" s="26"/>
      <c r="AS710" s="26"/>
      <c r="AT710" s="26"/>
      <c r="AU710" s="26"/>
      <c r="AV710" s="26"/>
      <c r="AW710" s="26"/>
      <c r="AX710" s="26"/>
      <c r="AY710" s="26"/>
    </row>
    <row r="711" spans="1:51">
      <c r="S711" s="26"/>
      <c r="T711" s="26"/>
      <c r="U711" s="26"/>
      <c r="V711" s="26"/>
      <c r="W711" s="26"/>
      <c r="X711" s="26"/>
      <c r="Y711" s="26"/>
      <c r="Z711" s="26"/>
      <c r="AA711" s="26"/>
      <c r="AB711" s="26"/>
      <c r="AC711" s="26"/>
      <c r="AD711" s="26"/>
      <c r="AE711" s="26"/>
      <c r="AF711" s="26"/>
      <c r="AG711" s="26"/>
      <c r="AH711" s="26"/>
      <c r="AI711" s="26"/>
      <c r="AJ711" s="26"/>
      <c r="AK711" s="26"/>
      <c r="AL711" s="26"/>
      <c r="AM711" s="26"/>
      <c r="AN711" s="26"/>
      <c r="AO711" s="26"/>
      <c r="AP711" s="26"/>
      <c r="AQ711" s="26"/>
      <c r="AR711" s="26"/>
      <c r="AS711" s="26"/>
      <c r="AT711" s="26"/>
      <c r="AU711" s="26"/>
      <c r="AV711" s="26"/>
      <c r="AW711" s="26"/>
      <c r="AX711" s="26"/>
      <c r="AY711" s="26"/>
    </row>
    <row r="712" spans="1:51" ht="33.75" customHeight="1">
      <c r="A712" s="26"/>
      <c r="B712" s="66" t="s">
        <v>168</v>
      </c>
      <c r="C712" s="67"/>
      <c r="D712" s="67"/>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c r="AN712" s="26"/>
      <c r="AO712" s="26"/>
      <c r="AP712" s="26"/>
      <c r="AQ712" s="26"/>
      <c r="AR712" s="26"/>
      <c r="AS712" s="26"/>
      <c r="AT712" s="26"/>
      <c r="AU712" s="26"/>
      <c r="AV712" s="26"/>
      <c r="AW712" s="26"/>
      <c r="AX712" s="26"/>
      <c r="AY712" s="26"/>
    </row>
    <row r="713" spans="1:51">
      <c r="S713" s="26"/>
      <c r="T713" s="26"/>
      <c r="U713" s="26"/>
      <c r="V713" s="26"/>
      <c r="W713" s="26"/>
      <c r="X713" s="26"/>
      <c r="Y713" s="26"/>
      <c r="Z713" s="26"/>
      <c r="AA713" s="26"/>
      <c r="AB713" s="26"/>
      <c r="AC713" s="26"/>
      <c r="AD713" s="26"/>
      <c r="AE713" s="26"/>
      <c r="AF713" s="26"/>
      <c r="AG713" s="26"/>
      <c r="AH713" s="26"/>
      <c r="AI713" s="26"/>
      <c r="AJ713" s="26"/>
      <c r="AK713" s="26"/>
      <c r="AL713" s="26"/>
      <c r="AM713" s="26"/>
      <c r="AN713" s="26"/>
      <c r="AO713" s="26"/>
      <c r="AP713" s="26"/>
      <c r="AQ713" s="26"/>
      <c r="AR713" s="26"/>
      <c r="AS713" s="26"/>
      <c r="AT713" s="26"/>
      <c r="AU713" s="26"/>
      <c r="AV713" s="26"/>
      <c r="AW713" s="26"/>
      <c r="AX713" s="26"/>
      <c r="AY713" s="26"/>
    </row>
    <row r="714" spans="1:51">
      <c r="S714" s="26"/>
      <c r="T714" s="26"/>
      <c r="U714" s="26"/>
      <c r="V714" s="26"/>
      <c r="W714" s="26"/>
      <c r="X714" s="26"/>
      <c r="Y714" s="26"/>
      <c r="Z714" s="26"/>
      <c r="AA714" s="26"/>
      <c r="AB714" s="26"/>
      <c r="AC714" s="26"/>
      <c r="AD714" s="26"/>
      <c r="AE714" s="26"/>
      <c r="AF714" s="26"/>
      <c r="AG714" s="26"/>
      <c r="AH714" s="26"/>
      <c r="AI714" s="26"/>
      <c r="AJ714" s="26"/>
      <c r="AK714" s="26"/>
      <c r="AL714" s="26"/>
      <c r="AM714" s="26"/>
      <c r="AN714" s="26"/>
      <c r="AO714" s="26"/>
      <c r="AP714" s="26"/>
      <c r="AQ714" s="26"/>
      <c r="AR714" s="26"/>
      <c r="AS714" s="26"/>
      <c r="AT714" s="26"/>
      <c r="AU714" s="26"/>
      <c r="AV714" s="26"/>
      <c r="AW714" s="26"/>
      <c r="AX714" s="26"/>
      <c r="AY714" s="26"/>
    </row>
    <row r="715" spans="1:51">
      <c r="S715" s="26"/>
      <c r="T715" s="26"/>
      <c r="U715" s="26"/>
      <c r="V715" s="26"/>
      <c r="W715" s="26"/>
      <c r="X715" s="26"/>
      <c r="Y715" s="26"/>
      <c r="Z715" s="26"/>
      <c r="AA715" s="26"/>
      <c r="AB715" s="26"/>
      <c r="AC715" s="26"/>
      <c r="AD715" s="26"/>
      <c r="AE715" s="26"/>
      <c r="AF715" s="26"/>
      <c r="AG715" s="26"/>
      <c r="AH715" s="26"/>
      <c r="AI715" s="26"/>
      <c r="AJ715" s="26"/>
      <c r="AK715" s="26"/>
      <c r="AL715" s="26"/>
      <c r="AM715" s="26"/>
      <c r="AN715" s="26"/>
      <c r="AO715" s="26"/>
      <c r="AP715" s="26"/>
      <c r="AQ715" s="26"/>
      <c r="AR715" s="26"/>
      <c r="AS715" s="26"/>
      <c r="AT715" s="26"/>
      <c r="AU715" s="26"/>
      <c r="AV715" s="26"/>
      <c r="AW715" s="26"/>
      <c r="AX715" s="26"/>
      <c r="AY715" s="26"/>
    </row>
    <row r="716" spans="1:51">
      <c r="S716" s="26"/>
      <c r="T716" s="26"/>
      <c r="U716" s="26"/>
      <c r="V716" s="26"/>
      <c r="W716" s="26"/>
      <c r="X716" s="26"/>
      <c r="Y716" s="26"/>
      <c r="Z716" s="26"/>
      <c r="AA716" s="26"/>
      <c r="AB716" s="26"/>
      <c r="AC716" s="26"/>
      <c r="AD716" s="26"/>
      <c r="AE716" s="26"/>
      <c r="AF716" s="26"/>
      <c r="AG716" s="26"/>
      <c r="AH716" s="26"/>
      <c r="AI716" s="26"/>
      <c r="AJ716" s="26"/>
      <c r="AK716" s="26"/>
      <c r="AL716" s="26"/>
      <c r="AM716" s="26"/>
      <c r="AN716" s="26"/>
      <c r="AO716" s="26"/>
      <c r="AP716" s="26"/>
      <c r="AQ716" s="26"/>
      <c r="AR716" s="26"/>
      <c r="AS716" s="26"/>
      <c r="AT716" s="26"/>
      <c r="AU716" s="26"/>
      <c r="AV716" s="26"/>
      <c r="AW716" s="26"/>
      <c r="AX716" s="26"/>
      <c r="AY716" s="26"/>
    </row>
    <row r="717" spans="1:51">
      <c r="S717" s="26"/>
      <c r="T717" s="26"/>
      <c r="U717" s="26"/>
      <c r="V717" s="26"/>
      <c r="W717" s="26"/>
      <c r="X717" s="26"/>
      <c r="Y717" s="26"/>
      <c r="Z717" s="26"/>
      <c r="AA717" s="26"/>
      <c r="AB717" s="26"/>
      <c r="AC717" s="26"/>
      <c r="AD717" s="26"/>
      <c r="AE717" s="26"/>
      <c r="AF717" s="26"/>
      <c r="AG717" s="26"/>
      <c r="AH717" s="26"/>
      <c r="AI717" s="26"/>
      <c r="AJ717" s="26"/>
      <c r="AK717" s="26"/>
      <c r="AL717" s="26"/>
      <c r="AM717" s="26"/>
      <c r="AN717" s="26"/>
      <c r="AO717" s="26"/>
      <c r="AP717" s="26"/>
      <c r="AQ717" s="26"/>
      <c r="AR717" s="26"/>
      <c r="AS717" s="26"/>
      <c r="AT717" s="26"/>
      <c r="AU717" s="26"/>
      <c r="AV717" s="26"/>
      <c r="AW717" s="26"/>
      <c r="AX717" s="26"/>
      <c r="AY717" s="26"/>
    </row>
    <row r="718" spans="1:51">
      <c r="S718" s="26"/>
      <c r="T718" s="26"/>
      <c r="U718" s="26"/>
      <c r="V718" s="26"/>
      <c r="W718" s="26"/>
      <c r="X718" s="26"/>
      <c r="Y718" s="26"/>
      <c r="Z718" s="26"/>
      <c r="AA718" s="26"/>
      <c r="AB718" s="26"/>
      <c r="AC718" s="26"/>
      <c r="AD718" s="26"/>
      <c r="AE718" s="26"/>
      <c r="AF718" s="26"/>
      <c r="AG718" s="26"/>
      <c r="AH718" s="26"/>
      <c r="AI718" s="26"/>
      <c r="AJ718" s="26"/>
      <c r="AK718" s="26"/>
      <c r="AL718" s="26"/>
      <c r="AM718" s="26"/>
      <c r="AN718" s="26"/>
      <c r="AO718" s="26"/>
      <c r="AP718" s="26"/>
      <c r="AQ718" s="26"/>
      <c r="AR718" s="26"/>
      <c r="AS718" s="26"/>
      <c r="AT718" s="26"/>
      <c r="AU718" s="26"/>
      <c r="AV718" s="26"/>
      <c r="AW718" s="26"/>
      <c r="AX718" s="26"/>
      <c r="AY718" s="26"/>
    </row>
    <row r="719" spans="1:51">
      <c r="S719" s="26"/>
      <c r="T719" s="26"/>
      <c r="U719" s="26"/>
      <c r="V719" s="26"/>
      <c r="W719" s="26"/>
      <c r="X719" s="26"/>
      <c r="Y719" s="26"/>
      <c r="Z719" s="26"/>
      <c r="AA719" s="26"/>
      <c r="AB719" s="26"/>
      <c r="AC719" s="26"/>
      <c r="AD719" s="26"/>
      <c r="AE719" s="26"/>
      <c r="AF719" s="26"/>
      <c r="AG719" s="26"/>
      <c r="AH719" s="26"/>
      <c r="AI719" s="26"/>
      <c r="AJ719" s="26"/>
      <c r="AK719" s="26"/>
      <c r="AL719" s="26"/>
      <c r="AM719" s="26"/>
      <c r="AN719" s="26"/>
      <c r="AO719" s="26"/>
      <c r="AP719" s="26"/>
      <c r="AQ719" s="26"/>
      <c r="AR719" s="26"/>
      <c r="AS719" s="26"/>
      <c r="AT719" s="26"/>
      <c r="AU719" s="26"/>
      <c r="AV719" s="26"/>
      <c r="AW719" s="26"/>
      <c r="AX719" s="26"/>
      <c r="AY719" s="26"/>
    </row>
    <row r="720" spans="1:51">
      <c r="S720" s="26"/>
      <c r="T720" s="26"/>
      <c r="U720" s="26"/>
      <c r="V720" s="26"/>
      <c r="W720" s="26"/>
      <c r="X720" s="26"/>
      <c r="Y720" s="26"/>
      <c r="Z720" s="26"/>
      <c r="AA720" s="26"/>
      <c r="AB720" s="26"/>
      <c r="AC720" s="26"/>
      <c r="AD720" s="26"/>
      <c r="AE720" s="26"/>
      <c r="AF720" s="26"/>
      <c r="AG720" s="26"/>
      <c r="AH720" s="26"/>
      <c r="AI720" s="26"/>
      <c r="AJ720" s="26"/>
      <c r="AK720" s="26"/>
      <c r="AL720" s="26"/>
      <c r="AM720" s="26"/>
      <c r="AN720" s="26"/>
      <c r="AO720" s="26"/>
      <c r="AP720" s="26"/>
      <c r="AQ720" s="26"/>
      <c r="AR720" s="26"/>
      <c r="AS720" s="26"/>
      <c r="AT720" s="26"/>
      <c r="AU720" s="26"/>
      <c r="AV720" s="26"/>
      <c r="AW720" s="26"/>
      <c r="AX720" s="26"/>
      <c r="AY720" s="26"/>
    </row>
    <row r="721" spans="2:51">
      <c r="S721" s="26"/>
      <c r="T721" s="26"/>
      <c r="U721" s="26"/>
      <c r="V721" s="26"/>
      <c r="W721" s="26"/>
      <c r="X721" s="26"/>
      <c r="Y721" s="26"/>
      <c r="Z721" s="26"/>
      <c r="AA721" s="26"/>
      <c r="AB721" s="26"/>
      <c r="AC721" s="26"/>
      <c r="AD721" s="26"/>
      <c r="AE721" s="26"/>
      <c r="AF721" s="26"/>
      <c r="AG721" s="26"/>
      <c r="AH721" s="26"/>
      <c r="AI721" s="26"/>
      <c r="AJ721" s="26"/>
      <c r="AK721" s="26"/>
      <c r="AL721" s="26"/>
      <c r="AM721" s="26"/>
      <c r="AN721" s="26"/>
      <c r="AO721" s="26"/>
      <c r="AP721" s="26"/>
      <c r="AQ721" s="26"/>
      <c r="AR721" s="26"/>
      <c r="AS721" s="26"/>
      <c r="AT721" s="26"/>
      <c r="AU721" s="26"/>
      <c r="AV721" s="26"/>
      <c r="AW721" s="26"/>
      <c r="AX721" s="26"/>
      <c r="AY721" s="26"/>
    </row>
    <row r="722" spans="2:51">
      <c r="S722" s="26"/>
      <c r="T722" s="26"/>
      <c r="U722" s="26"/>
      <c r="V722" s="26"/>
      <c r="W722" s="26"/>
      <c r="X722" s="26"/>
      <c r="Y722" s="26"/>
      <c r="Z722" s="26"/>
      <c r="AA722" s="26"/>
      <c r="AB722" s="26"/>
      <c r="AC722" s="26"/>
      <c r="AD722" s="26"/>
      <c r="AE722" s="26"/>
      <c r="AF722" s="26"/>
      <c r="AG722" s="26"/>
      <c r="AH722" s="26"/>
      <c r="AI722" s="26"/>
      <c r="AJ722" s="26"/>
      <c r="AK722" s="26"/>
      <c r="AL722" s="26"/>
      <c r="AM722" s="26"/>
      <c r="AN722" s="26"/>
      <c r="AO722" s="26"/>
      <c r="AP722" s="26"/>
      <c r="AQ722" s="26"/>
      <c r="AR722" s="26"/>
      <c r="AS722" s="26"/>
      <c r="AT722" s="26"/>
      <c r="AU722" s="26"/>
      <c r="AV722" s="26"/>
      <c r="AW722" s="26"/>
      <c r="AX722" s="26"/>
      <c r="AY722" s="26"/>
    </row>
    <row r="723" spans="2:51">
      <c r="S723" s="26"/>
      <c r="T723" s="26"/>
      <c r="U723" s="26"/>
      <c r="V723" s="26"/>
      <c r="W723" s="26"/>
      <c r="X723" s="26"/>
      <c r="Y723" s="26"/>
      <c r="Z723" s="26"/>
      <c r="AA723" s="26"/>
      <c r="AB723" s="26"/>
      <c r="AC723" s="26"/>
      <c r="AD723" s="26"/>
      <c r="AE723" s="26"/>
      <c r="AF723" s="26"/>
      <c r="AG723" s="26"/>
      <c r="AH723" s="26"/>
      <c r="AI723" s="26"/>
      <c r="AJ723" s="26"/>
      <c r="AK723" s="26"/>
      <c r="AL723" s="26"/>
      <c r="AM723" s="26"/>
      <c r="AN723" s="26"/>
      <c r="AO723" s="26"/>
      <c r="AP723" s="26"/>
      <c r="AQ723" s="26"/>
      <c r="AR723" s="26"/>
      <c r="AS723" s="26"/>
      <c r="AT723" s="26"/>
      <c r="AU723" s="26"/>
      <c r="AV723" s="26"/>
      <c r="AW723" s="26"/>
      <c r="AX723" s="26"/>
      <c r="AY723" s="26"/>
    </row>
    <row r="724" spans="2:51">
      <c r="S724" s="26"/>
      <c r="T724" s="26"/>
      <c r="U724" s="26"/>
      <c r="V724" s="26"/>
      <c r="W724" s="26"/>
      <c r="X724" s="26"/>
      <c r="Y724" s="26"/>
      <c r="Z724" s="26"/>
      <c r="AA724" s="26"/>
      <c r="AB724" s="26"/>
      <c r="AC724" s="26"/>
      <c r="AD724" s="26"/>
      <c r="AE724" s="26"/>
      <c r="AF724" s="26"/>
      <c r="AG724" s="26"/>
      <c r="AH724" s="26"/>
      <c r="AI724" s="26"/>
      <c r="AJ724" s="26"/>
      <c r="AK724" s="26"/>
      <c r="AL724" s="26"/>
      <c r="AM724" s="26"/>
      <c r="AN724" s="26"/>
      <c r="AO724" s="26"/>
      <c r="AP724" s="26"/>
      <c r="AQ724" s="26"/>
      <c r="AR724" s="26"/>
      <c r="AS724" s="26"/>
      <c r="AT724" s="26"/>
      <c r="AU724" s="26"/>
      <c r="AV724" s="26"/>
      <c r="AW724" s="26"/>
      <c r="AX724" s="26"/>
      <c r="AY724" s="26"/>
    </row>
    <row r="725" spans="2:51">
      <c r="S725" s="26"/>
      <c r="T725" s="26"/>
      <c r="U725" s="26"/>
      <c r="V725" s="26"/>
      <c r="W725" s="26"/>
      <c r="X725" s="26"/>
      <c r="Y725" s="26"/>
      <c r="Z725" s="26"/>
      <c r="AA725" s="26"/>
      <c r="AB725" s="26"/>
      <c r="AC725" s="26"/>
      <c r="AD725" s="26"/>
      <c r="AE725" s="26"/>
      <c r="AF725" s="26"/>
      <c r="AG725" s="26"/>
      <c r="AH725" s="26"/>
      <c r="AI725" s="26"/>
      <c r="AJ725" s="26"/>
      <c r="AK725" s="26"/>
      <c r="AL725" s="26"/>
      <c r="AM725" s="26"/>
      <c r="AN725" s="26"/>
      <c r="AO725" s="26"/>
      <c r="AP725" s="26"/>
      <c r="AQ725" s="26"/>
      <c r="AR725" s="26"/>
      <c r="AS725" s="26"/>
      <c r="AT725" s="26"/>
      <c r="AU725" s="26"/>
      <c r="AV725" s="26"/>
      <c r="AW725" s="26"/>
      <c r="AX725" s="26"/>
      <c r="AY725" s="26"/>
    </row>
    <row r="726" spans="2:51">
      <c r="S726" s="26"/>
      <c r="T726" s="26"/>
      <c r="U726" s="26"/>
      <c r="V726" s="26"/>
      <c r="W726" s="26"/>
      <c r="X726" s="26"/>
      <c r="Y726" s="26"/>
      <c r="Z726" s="26"/>
      <c r="AA726" s="26"/>
      <c r="AB726" s="26"/>
      <c r="AC726" s="26"/>
      <c r="AD726" s="26"/>
      <c r="AE726" s="26"/>
      <c r="AF726" s="26"/>
      <c r="AG726" s="26"/>
      <c r="AH726" s="26"/>
      <c r="AI726" s="26"/>
      <c r="AJ726" s="26"/>
      <c r="AK726" s="26"/>
      <c r="AL726" s="26"/>
      <c r="AM726" s="26"/>
      <c r="AN726" s="26"/>
      <c r="AO726" s="26"/>
      <c r="AP726" s="26"/>
      <c r="AQ726" s="26"/>
      <c r="AR726" s="26"/>
      <c r="AS726" s="26"/>
      <c r="AT726" s="26"/>
      <c r="AU726" s="26"/>
      <c r="AV726" s="26"/>
      <c r="AW726" s="26"/>
      <c r="AX726" s="26"/>
      <c r="AY726" s="26"/>
    </row>
    <row r="727" spans="2:51">
      <c r="S727" s="26"/>
      <c r="T727" s="26"/>
      <c r="U727" s="26"/>
      <c r="V727" s="26"/>
      <c r="W727" s="26"/>
      <c r="X727" s="26"/>
      <c r="Y727" s="26"/>
      <c r="Z727" s="26"/>
      <c r="AA727" s="26"/>
      <c r="AB727" s="26"/>
      <c r="AC727" s="26"/>
      <c r="AD727" s="26"/>
      <c r="AE727" s="26"/>
      <c r="AF727" s="26"/>
      <c r="AG727" s="26"/>
      <c r="AH727" s="26"/>
      <c r="AI727" s="26"/>
      <c r="AJ727" s="26"/>
      <c r="AK727" s="26"/>
      <c r="AL727" s="26"/>
      <c r="AM727" s="26"/>
      <c r="AN727" s="26"/>
      <c r="AO727" s="26"/>
      <c r="AP727" s="26"/>
      <c r="AQ727" s="26"/>
      <c r="AR727" s="26"/>
      <c r="AS727" s="26"/>
      <c r="AT727" s="26"/>
      <c r="AU727" s="26"/>
      <c r="AV727" s="26"/>
      <c r="AW727" s="26"/>
      <c r="AX727" s="26"/>
      <c r="AY727" s="26"/>
    </row>
    <row r="728" spans="2:51">
      <c r="S728" s="26"/>
      <c r="T728" s="26"/>
      <c r="U728" s="26"/>
      <c r="V728" s="26"/>
      <c r="W728" s="26"/>
      <c r="X728" s="26"/>
      <c r="Y728" s="26"/>
      <c r="Z728" s="26"/>
      <c r="AA728" s="26"/>
      <c r="AB728" s="26"/>
      <c r="AC728" s="26"/>
      <c r="AD728" s="26"/>
      <c r="AE728" s="26"/>
      <c r="AF728" s="26"/>
      <c r="AG728" s="26"/>
      <c r="AH728" s="26"/>
      <c r="AI728" s="26"/>
      <c r="AJ728" s="26"/>
      <c r="AK728" s="26"/>
      <c r="AL728" s="26"/>
      <c r="AM728" s="26"/>
      <c r="AN728" s="26"/>
      <c r="AO728" s="26"/>
      <c r="AP728" s="26"/>
      <c r="AQ728" s="26"/>
      <c r="AR728" s="26"/>
      <c r="AS728" s="26"/>
      <c r="AT728" s="26"/>
      <c r="AU728" s="26"/>
      <c r="AV728" s="26"/>
      <c r="AW728" s="26"/>
      <c r="AX728" s="26"/>
      <c r="AY728" s="26"/>
    </row>
    <row r="729" spans="2:51">
      <c r="S729" s="26"/>
      <c r="T729" s="26"/>
      <c r="U729" s="26"/>
      <c r="V729" s="26"/>
      <c r="W729" s="26"/>
      <c r="X729" s="26"/>
      <c r="Y729" s="26"/>
      <c r="Z729" s="26"/>
      <c r="AA729" s="26"/>
      <c r="AB729" s="26"/>
      <c r="AC729" s="26"/>
      <c r="AD729" s="26"/>
      <c r="AE729" s="26"/>
      <c r="AF729" s="26"/>
      <c r="AG729" s="26"/>
      <c r="AH729" s="26"/>
      <c r="AI729" s="26"/>
      <c r="AJ729" s="26"/>
      <c r="AK729" s="26"/>
      <c r="AL729" s="26"/>
      <c r="AM729" s="26"/>
      <c r="AN729" s="26"/>
      <c r="AO729" s="26"/>
      <c r="AP729" s="26"/>
      <c r="AQ729" s="26"/>
      <c r="AR729" s="26"/>
      <c r="AS729" s="26"/>
      <c r="AT729" s="26"/>
      <c r="AU729" s="26"/>
      <c r="AV729" s="26"/>
      <c r="AW729" s="26"/>
      <c r="AX729" s="26"/>
      <c r="AY729" s="26"/>
    </row>
    <row r="730" spans="2:51">
      <c r="B730" s="30" t="s">
        <v>168</v>
      </c>
      <c r="C730" s="37" t="s">
        <v>129</v>
      </c>
      <c r="D730" s="37" t="s">
        <v>129</v>
      </c>
      <c r="E730" s="37" t="s">
        <v>129</v>
      </c>
      <c r="F730" s="37" t="s">
        <v>129</v>
      </c>
      <c r="G730" s="37" t="s">
        <v>129</v>
      </c>
      <c r="H730" s="37" t="s">
        <v>129</v>
      </c>
      <c r="I730" s="70" t="s">
        <v>129</v>
      </c>
      <c r="J730" s="70" t="s">
        <v>129</v>
      </c>
      <c r="K730" s="37" t="s">
        <v>129</v>
      </c>
      <c r="L730" s="71" t="s">
        <v>129</v>
      </c>
      <c r="S730" s="26"/>
      <c r="T730" s="26"/>
      <c r="U730" s="26"/>
      <c r="V730" s="26"/>
      <c r="W730" s="26"/>
      <c r="X730" s="26"/>
      <c r="Y730" s="26"/>
      <c r="Z730" s="26"/>
      <c r="AA730" s="26"/>
      <c r="AB730" s="26"/>
      <c r="AC730" s="26"/>
      <c r="AD730" s="26"/>
      <c r="AE730" s="26"/>
      <c r="AF730" s="26"/>
      <c r="AG730" s="26"/>
      <c r="AH730" s="26"/>
      <c r="AI730" s="26"/>
      <c r="AJ730" s="26"/>
      <c r="AK730" s="26"/>
      <c r="AL730" s="26"/>
      <c r="AM730" s="26"/>
      <c r="AN730" s="26"/>
      <c r="AO730" s="26"/>
      <c r="AP730" s="26"/>
      <c r="AQ730" s="26"/>
      <c r="AR730" s="26"/>
      <c r="AS730" s="26"/>
      <c r="AT730" s="26"/>
      <c r="AU730" s="26"/>
      <c r="AV730" s="26"/>
      <c r="AW730" s="26"/>
      <c r="AX730" s="26"/>
      <c r="AY730" s="26"/>
    </row>
    <row r="731" spans="2:51">
      <c r="B731" s="14"/>
      <c r="C731" s="30" t="s">
        <v>169</v>
      </c>
      <c r="D731" s="30" t="s">
        <v>170</v>
      </c>
      <c r="E731" s="30" t="s">
        <v>171</v>
      </c>
      <c r="F731" s="30" t="s">
        <v>172</v>
      </c>
      <c r="G731" s="30" t="s">
        <v>173</v>
      </c>
      <c r="H731" s="30" t="s">
        <v>174</v>
      </c>
      <c r="I731" s="36" t="s">
        <v>175</v>
      </c>
      <c r="J731" s="30" t="s">
        <v>176</v>
      </c>
      <c r="K731" s="30" t="s">
        <v>156</v>
      </c>
      <c r="L731" s="71" t="s">
        <v>147</v>
      </c>
      <c r="S731" s="26"/>
      <c r="T731" s="26"/>
      <c r="U731" s="26"/>
      <c r="V731" s="26"/>
      <c r="W731" s="26"/>
      <c r="X731" s="26"/>
      <c r="Y731" s="26"/>
      <c r="Z731" s="26"/>
      <c r="AA731" s="26"/>
      <c r="AB731" s="26"/>
      <c r="AC731" s="26"/>
      <c r="AD731" s="26"/>
      <c r="AE731" s="26"/>
      <c r="AF731" s="26"/>
      <c r="AG731" s="26"/>
      <c r="AH731" s="26"/>
      <c r="AI731" s="26"/>
      <c r="AJ731" s="26"/>
      <c r="AK731" s="26"/>
      <c r="AL731" s="26"/>
      <c r="AM731" s="26"/>
      <c r="AN731" s="26"/>
      <c r="AO731" s="26"/>
      <c r="AP731" s="26"/>
      <c r="AQ731" s="26"/>
      <c r="AR731" s="26"/>
      <c r="AS731" s="26"/>
      <c r="AT731" s="26"/>
      <c r="AU731" s="26"/>
      <c r="AV731" s="26"/>
      <c r="AW731" s="26"/>
      <c r="AX731" s="26"/>
      <c r="AY731" s="26"/>
    </row>
    <row r="732" spans="2:51">
      <c r="B732" s="32" t="s">
        <v>177</v>
      </c>
      <c r="C732" s="12" t="e">
        <f>(#REF!/#REF!%+#REF!/#REF!%+#REF!/#REF!%+#REF!/#REF!%+#REF!/#REF!%+#REF!/#REF!%+#REF!)/0.95</f>
        <v>#REF!</v>
      </c>
      <c r="D732" s="12" t="e">
        <f>(#REF!/#REF!%+#REF!/#REF!%+#REF!/#REF!%)/0.95</f>
        <v>#REF!</v>
      </c>
      <c r="E732" s="12" t="e">
        <f>(#REF!/#REF!%+#REF!/#REF!%+#REF!/#REF!%)/0.95</f>
        <v>#REF!</v>
      </c>
      <c r="F732" s="12" t="e">
        <f>(#REF!/#REF!%+#REF!/#REF!%+#REF!/#REF!%)/0.95</f>
        <v>#REF!</v>
      </c>
      <c r="G732" s="12" t="e">
        <f>(#REF!/#REF!%+#REF!/#REF!%+#REF!/#REF!%)/0.95</f>
        <v>#REF!</v>
      </c>
      <c r="H732" s="12" t="e">
        <f>(#REF!/#REF!%+#REF!/#REF!%+#REF!/#REF!%+#REF!)/0.95</f>
        <v>#REF!</v>
      </c>
      <c r="I732" s="12" t="e">
        <f>(#REF!/#REF!%+#REF!/#REF!%+#REF!/#REF!%)/0.95</f>
        <v>#REF!</v>
      </c>
      <c r="J732" s="12" t="e">
        <f>(#REF!/#REF!%+#REF!/#REF!%+#REF!/#REF!%)/0.95</f>
        <v>#REF!</v>
      </c>
      <c r="K732" s="12" t="e">
        <f>(#REF!/#REF!%+#REF!/#REF!%)/0.95</f>
        <v>#REF!</v>
      </c>
      <c r="L732" s="72" t="e">
        <f>SUM(C732:K732)</f>
        <v>#REF!</v>
      </c>
      <c r="S732" s="26"/>
      <c r="T732" s="26"/>
      <c r="U732" s="26"/>
      <c r="V732" s="26"/>
      <c r="W732" s="26"/>
      <c r="X732" s="26"/>
      <c r="Y732" s="26"/>
      <c r="Z732" s="26"/>
      <c r="AA732" s="26"/>
      <c r="AB732" s="26"/>
      <c r="AC732" s="26"/>
      <c r="AD732" s="26"/>
      <c r="AE732" s="26"/>
      <c r="AF732" s="26"/>
      <c r="AG732" s="26"/>
      <c r="AH732" s="26"/>
      <c r="AI732" s="26"/>
      <c r="AJ732" s="26"/>
      <c r="AK732" s="26"/>
      <c r="AL732" s="26"/>
      <c r="AM732" s="26"/>
      <c r="AN732" s="26"/>
      <c r="AO732" s="26"/>
      <c r="AP732" s="26"/>
      <c r="AQ732" s="26"/>
      <c r="AR732" s="26"/>
      <c r="AS732" s="26"/>
      <c r="AT732" s="26"/>
      <c r="AU732" s="26"/>
      <c r="AV732" s="26"/>
      <c r="AW732" s="26"/>
      <c r="AX732" s="26"/>
      <c r="AY732" s="26"/>
    </row>
    <row r="733" spans="2:51">
      <c r="B733" s="32" t="s">
        <v>132</v>
      </c>
      <c r="C733" s="12"/>
      <c r="D733" s="12"/>
      <c r="E733" s="12"/>
      <c r="F733" s="12"/>
      <c r="G733" s="12"/>
      <c r="H733" s="12" t="e">
        <f>#REF!</f>
        <v>#REF!</v>
      </c>
      <c r="I733" s="73"/>
      <c r="J733" s="73"/>
      <c r="K733" s="12"/>
      <c r="L733" s="72" t="e">
        <f t="shared" ref="L733:L745" si="13">SUM(C733:K733)</f>
        <v>#REF!</v>
      </c>
      <c r="S733" s="26"/>
      <c r="T733" s="26"/>
      <c r="U733" s="26"/>
      <c r="V733" s="26"/>
      <c r="W733" s="26"/>
      <c r="X733" s="26"/>
      <c r="Y733" s="26"/>
      <c r="Z733" s="26"/>
      <c r="AA733" s="26"/>
      <c r="AB733" s="26"/>
      <c r="AC733" s="26"/>
      <c r="AD733" s="26"/>
      <c r="AE733" s="26"/>
      <c r="AF733" s="26"/>
      <c r="AG733" s="26"/>
      <c r="AH733" s="26"/>
      <c r="AI733" s="26"/>
      <c r="AJ733" s="26"/>
      <c r="AK733" s="26"/>
      <c r="AL733" s="26"/>
      <c r="AM733" s="26"/>
      <c r="AN733" s="26"/>
      <c r="AO733" s="26"/>
      <c r="AP733" s="26"/>
      <c r="AQ733" s="26"/>
      <c r="AR733" s="26"/>
      <c r="AS733" s="26"/>
      <c r="AT733" s="26"/>
      <c r="AU733" s="26"/>
      <c r="AV733" s="26"/>
      <c r="AW733" s="26"/>
      <c r="AX733" s="26"/>
      <c r="AY733" s="26"/>
    </row>
    <row r="734" spans="2:51">
      <c r="B734" s="32" t="s">
        <v>133</v>
      </c>
      <c r="C734" s="12" t="e">
        <f>#REF!/#REF!%+#REF!/#REF!%</f>
        <v>#REF!</v>
      </c>
      <c r="D734" s="12" t="e">
        <f>#REF!/#REF!%</f>
        <v>#REF!</v>
      </c>
      <c r="E734" s="12" t="e">
        <f>#REF!/#REF!%</f>
        <v>#REF!</v>
      </c>
      <c r="F734" s="12" t="e">
        <f>#REF!/#REF!%</f>
        <v>#REF!</v>
      </c>
      <c r="G734" s="12" t="e">
        <f>#REF!/#REF!%</f>
        <v>#REF!</v>
      </c>
      <c r="H734" s="12" t="e">
        <f>#REF!/#REF!%+#REF!+#REF!</f>
        <v>#REF!</v>
      </c>
      <c r="I734" s="12" t="e">
        <f>#REF!/#REF!%</f>
        <v>#REF!</v>
      </c>
      <c r="J734" s="12" t="e">
        <f>#REF!/#REF!%</f>
        <v>#REF!</v>
      </c>
      <c r="K734" s="12" t="e">
        <f>#REF!/#REF!%</f>
        <v>#REF!</v>
      </c>
      <c r="L734" s="72" t="e">
        <f t="shared" si="13"/>
        <v>#REF!</v>
      </c>
      <c r="S734" s="26"/>
      <c r="T734" s="26"/>
      <c r="U734" s="26"/>
      <c r="V734" s="26"/>
      <c r="W734" s="26"/>
      <c r="X734" s="26"/>
      <c r="Y734" s="26"/>
      <c r="Z734" s="26"/>
      <c r="AA734" s="26"/>
      <c r="AB734" s="26"/>
      <c r="AC734" s="26"/>
      <c r="AD734" s="26"/>
      <c r="AE734" s="26"/>
      <c r="AF734" s="26"/>
      <c r="AG734" s="26"/>
      <c r="AH734" s="26"/>
      <c r="AI734" s="26"/>
      <c r="AJ734" s="26"/>
      <c r="AK734" s="26"/>
      <c r="AL734" s="26"/>
      <c r="AM734" s="26"/>
      <c r="AN734" s="26"/>
      <c r="AO734" s="26"/>
      <c r="AP734" s="26"/>
      <c r="AQ734" s="26"/>
      <c r="AR734" s="26"/>
      <c r="AS734" s="26"/>
      <c r="AT734" s="26"/>
      <c r="AU734" s="26"/>
      <c r="AV734" s="26"/>
      <c r="AW734" s="26"/>
      <c r="AX734" s="26"/>
      <c r="AY734" s="26"/>
    </row>
    <row r="735" spans="2:51">
      <c r="B735" s="32" t="s">
        <v>134</v>
      </c>
      <c r="C735" s="12"/>
      <c r="D735" s="12"/>
      <c r="E735" s="12"/>
      <c r="F735" s="12"/>
      <c r="G735" s="12"/>
      <c r="H735" s="12" t="e">
        <f>#REF!</f>
        <v>#REF!</v>
      </c>
      <c r="I735" s="73"/>
      <c r="J735" s="73"/>
      <c r="K735" s="12" t="e">
        <f>#REF!*#REF!/100</f>
        <v>#REF!</v>
      </c>
      <c r="L735" s="72" t="e">
        <f t="shared" si="13"/>
        <v>#REF!</v>
      </c>
      <c r="S735" s="26"/>
      <c r="T735" s="26"/>
      <c r="U735" s="26"/>
      <c r="V735" s="26"/>
      <c r="W735" s="26"/>
      <c r="X735" s="26"/>
      <c r="Y735" s="26"/>
      <c r="Z735" s="26"/>
      <c r="AA735" s="26"/>
      <c r="AB735" s="26"/>
      <c r="AC735" s="26"/>
      <c r="AD735" s="26"/>
      <c r="AE735" s="26"/>
      <c r="AF735" s="26"/>
      <c r="AG735" s="26"/>
      <c r="AH735" s="26"/>
      <c r="AI735" s="26"/>
      <c r="AJ735" s="26"/>
      <c r="AK735" s="26"/>
      <c r="AL735" s="26"/>
      <c r="AM735" s="26"/>
      <c r="AN735" s="26"/>
      <c r="AO735" s="26"/>
      <c r="AP735" s="26"/>
      <c r="AQ735" s="26"/>
      <c r="AR735" s="26"/>
      <c r="AS735" s="26"/>
      <c r="AT735" s="26"/>
      <c r="AU735" s="26"/>
      <c r="AV735" s="26"/>
      <c r="AW735" s="26"/>
      <c r="AX735" s="26"/>
      <c r="AY735" s="26"/>
    </row>
    <row r="736" spans="2:51">
      <c r="B736" s="32" t="s">
        <v>135</v>
      </c>
      <c r="C736" s="12" t="e">
        <f>#REF!/#REF!%</f>
        <v>#REF!</v>
      </c>
      <c r="D736" s="12"/>
      <c r="E736" s="12"/>
      <c r="F736" s="12"/>
      <c r="G736" s="12"/>
      <c r="H736" s="12" t="e">
        <f>SUM(#REF!)+SUM(#REF!)</f>
        <v>#REF!</v>
      </c>
      <c r="I736" s="73"/>
      <c r="J736" s="73" t="e">
        <f>#REF!/#REF!%</f>
        <v>#REF!</v>
      </c>
      <c r="K736" s="12" t="e">
        <f>#REF!+#REF!+#REF!+#REF!+#REF!+#REF!</f>
        <v>#REF!</v>
      </c>
      <c r="L736" s="72" t="e">
        <f t="shared" si="13"/>
        <v>#REF!</v>
      </c>
      <c r="S736" s="26"/>
      <c r="T736" s="26"/>
      <c r="U736" s="26"/>
      <c r="V736" s="26"/>
      <c r="W736" s="26"/>
      <c r="X736" s="26"/>
      <c r="Y736" s="26"/>
      <c r="Z736" s="26"/>
      <c r="AA736" s="26"/>
      <c r="AB736" s="26"/>
      <c r="AC736" s="26"/>
      <c r="AD736" s="26"/>
      <c r="AE736" s="26"/>
      <c r="AF736" s="26"/>
      <c r="AG736" s="26"/>
      <c r="AH736" s="26"/>
      <c r="AI736" s="26"/>
      <c r="AJ736" s="26"/>
      <c r="AK736" s="26"/>
      <c r="AL736" s="26"/>
      <c r="AM736" s="26"/>
      <c r="AN736" s="26"/>
      <c r="AO736" s="26"/>
      <c r="AP736" s="26"/>
      <c r="AQ736" s="26"/>
      <c r="AR736" s="26"/>
      <c r="AS736" s="26"/>
      <c r="AT736" s="26"/>
      <c r="AU736" s="26"/>
      <c r="AV736" s="26"/>
      <c r="AW736" s="26"/>
      <c r="AX736" s="26"/>
      <c r="AY736" s="26"/>
    </row>
    <row r="737" spans="2:51">
      <c r="B737" s="32" t="s">
        <v>137</v>
      </c>
      <c r="C737" s="12"/>
      <c r="D737" s="12"/>
      <c r="E737" s="12"/>
      <c r="F737" s="12"/>
      <c r="G737" s="12"/>
      <c r="H737" s="12" t="e">
        <f>#REF!</f>
        <v>#REF!</v>
      </c>
      <c r="I737" s="73"/>
      <c r="J737" s="73"/>
      <c r="K737" s="12" t="e">
        <f>#REF!+#REF!</f>
        <v>#REF!</v>
      </c>
      <c r="L737" s="72" t="e">
        <f t="shared" si="13"/>
        <v>#REF!</v>
      </c>
      <c r="S737" s="26"/>
      <c r="T737" s="26"/>
      <c r="U737" s="26"/>
      <c r="V737" s="26"/>
      <c r="W737" s="26"/>
      <c r="X737" s="26"/>
      <c r="Y737" s="26"/>
      <c r="Z737" s="26"/>
      <c r="AA737" s="26"/>
      <c r="AB737" s="26"/>
      <c r="AC737" s="26"/>
      <c r="AD737" s="26"/>
      <c r="AE737" s="26"/>
      <c r="AF737" s="26"/>
      <c r="AG737" s="26"/>
      <c r="AH737" s="26"/>
      <c r="AI737" s="26"/>
      <c r="AJ737" s="26"/>
      <c r="AK737" s="26"/>
      <c r="AL737" s="26"/>
      <c r="AM737" s="26"/>
      <c r="AN737" s="26"/>
      <c r="AO737" s="26"/>
      <c r="AP737" s="26"/>
      <c r="AQ737" s="26"/>
      <c r="AR737" s="26"/>
      <c r="AS737" s="26"/>
      <c r="AT737" s="26"/>
      <c r="AU737" s="26"/>
      <c r="AV737" s="26"/>
      <c r="AW737" s="26"/>
      <c r="AX737" s="26"/>
      <c r="AY737" s="26"/>
    </row>
    <row r="738" spans="2:51">
      <c r="B738" s="32" t="s">
        <v>136</v>
      </c>
      <c r="C738" s="12"/>
      <c r="D738" s="12"/>
      <c r="E738" s="12"/>
      <c r="F738" s="12"/>
      <c r="G738" s="12"/>
      <c r="H738" s="12"/>
      <c r="I738" s="73"/>
      <c r="J738" s="73"/>
      <c r="K738" s="12" t="e">
        <f>#REF!</f>
        <v>#REF!</v>
      </c>
      <c r="L738" s="72" t="e">
        <f t="shared" si="13"/>
        <v>#REF!</v>
      </c>
      <c r="S738" s="26"/>
      <c r="T738" s="26"/>
      <c r="U738" s="26"/>
      <c r="V738" s="26"/>
      <c r="W738" s="26"/>
      <c r="X738" s="26"/>
      <c r="Y738" s="26"/>
      <c r="Z738" s="26"/>
      <c r="AA738" s="26"/>
      <c r="AB738" s="26"/>
      <c r="AC738" s="26"/>
      <c r="AD738" s="26"/>
      <c r="AE738" s="26"/>
      <c r="AF738" s="26"/>
      <c r="AG738" s="26"/>
      <c r="AH738" s="26"/>
      <c r="AI738" s="26"/>
      <c r="AJ738" s="26"/>
      <c r="AK738" s="26"/>
      <c r="AL738" s="26"/>
      <c r="AM738" s="26"/>
      <c r="AN738" s="26"/>
      <c r="AO738" s="26"/>
      <c r="AP738" s="26"/>
      <c r="AQ738" s="26"/>
      <c r="AR738" s="26"/>
      <c r="AS738" s="26"/>
      <c r="AT738" s="26"/>
      <c r="AU738" s="26"/>
      <c r="AV738" s="26"/>
      <c r="AW738" s="26"/>
      <c r="AX738" s="26"/>
      <c r="AY738" s="26"/>
    </row>
    <row r="739" spans="2:51">
      <c r="B739" s="32" t="s">
        <v>138</v>
      </c>
      <c r="C739" s="12"/>
      <c r="D739" s="12"/>
      <c r="E739" s="12"/>
      <c r="F739" s="12"/>
      <c r="G739" s="12"/>
      <c r="H739" s="12" t="e">
        <f>#REF!</f>
        <v>#REF!</v>
      </c>
      <c r="I739" s="73"/>
      <c r="J739" s="73"/>
      <c r="K739" s="12"/>
      <c r="L739" s="72" t="e">
        <f t="shared" si="13"/>
        <v>#REF!</v>
      </c>
      <c r="S739" s="26"/>
      <c r="T739" s="26"/>
      <c r="U739" s="26"/>
      <c r="V739" s="26"/>
      <c r="W739" s="26"/>
      <c r="X739" s="26"/>
      <c r="Y739" s="26"/>
      <c r="Z739" s="26"/>
      <c r="AA739" s="26"/>
      <c r="AB739" s="26"/>
      <c r="AC739" s="26"/>
      <c r="AD739" s="26"/>
      <c r="AE739" s="26"/>
      <c r="AF739" s="26"/>
      <c r="AG739" s="26"/>
      <c r="AH739" s="26"/>
      <c r="AI739" s="26"/>
      <c r="AJ739" s="26"/>
      <c r="AK739" s="26"/>
      <c r="AL739" s="26"/>
      <c r="AM739" s="26"/>
      <c r="AN739" s="26"/>
      <c r="AO739" s="26"/>
      <c r="AP739" s="26"/>
      <c r="AQ739" s="26"/>
      <c r="AR739" s="26"/>
      <c r="AS739" s="26"/>
      <c r="AT739" s="26"/>
      <c r="AU739" s="26"/>
      <c r="AV739" s="26"/>
      <c r="AW739" s="26"/>
      <c r="AX739" s="26"/>
      <c r="AY739" s="26"/>
    </row>
    <row r="740" spans="2:51">
      <c r="B740" s="32" t="s">
        <v>178</v>
      </c>
      <c r="C740" s="12"/>
      <c r="D740" s="12"/>
      <c r="E740" s="12"/>
      <c r="F740" s="12"/>
      <c r="G740" s="12"/>
      <c r="H740" s="12"/>
      <c r="I740" s="73"/>
      <c r="J740" s="73" t="e">
        <f>#REF!</f>
        <v>#REF!</v>
      </c>
      <c r="K740" s="12" t="e">
        <f>SUM(#REF!)</f>
        <v>#REF!</v>
      </c>
      <c r="L740" s="72" t="e">
        <f t="shared" si="13"/>
        <v>#REF!</v>
      </c>
      <c r="S740" s="26"/>
      <c r="T740" s="26"/>
      <c r="U740" s="26"/>
      <c r="V740" s="26"/>
      <c r="W740" s="26"/>
      <c r="X740" s="26"/>
      <c r="Y740" s="26"/>
      <c r="Z740" s="26"/>
      <c r="AA740" s="26"/>
      <c r="AB740" s="26"/>
      <c r="AC740" s="26"/>
      <c r="AD740" s="26"/>
      <c r="AE740" s="26"/>
      <c r="AF740" s="26"/>
      <c r="AG740" s="26"/>
      <c r="AH740" s="26"/>
      <c r="AI740" s="26"/>
      <c r="AJ740" s="26"/>
      <c r="AK740" s="26"/>
      <c r="AL740" s="26"/>
      <c r="AM740" s="26"/>
      <c r="AN740" s="26"/>
      <c r="AO740" s="26"/>
      <c r="AP740" s="26"/>
      <c r="AQ740" s="26"/>
      <c r="AR740" s="26"/>
      <c r="AS740" s="26"/>
      <c r="AT740" s="26"/>
      <c r="AU740" s="26"/>
      <c r="AV740" s="26"/>
      <c r="AW740" s="26"/>
      <c r="AX740" s="26"/>
      <c r="AY740" s="26"/>
    </row>
    <row r="741" spans="2:51">
      <c r="B741" s="32" t="s">
        <v>141</v>
      </c>
      <c r="C741" s="12" t="e">
        <f>#REF!/#REF!%+#REF!/#REF!%+#REF!/#REF!%</f>
        <v>#REF!</v>
      </c>
      <c r="D741" s="12"/>
      <c r="E741" s="12"/>
      <c r="F741" s="12"/>
      <c r="G741" s="12"/>
      <c r="H741" s="12" t="e">
        <f>SUM(#REF!)</f>
        <v>#REF!</v>
      </c>
      <c r="I741" s="73"/>
      <c r="J741" s="73"/>
      <c r="K741" s="12"/>
      <c r="L741" s="72" t="e">
        <f t="shared" si="13"/>
        <v>#REF!</v>
      </c>
      <c r="S741" s="26"/>
      <c r="T741" s="26"/>
      <c r="U741" s="26"/>
      <c r="V741" s="26"/>
      <c r="W741" s="26"/>
      <c r="X741" s="26"/>
      <c r="Y741" s="26"/>
      <c r="Z741" s="26"/>
      <c r="AA741" s="26"/>
      <c r="AB741" s="26"/>
      <c r="AC741" s="26"/>
      <c r="AD741" s="26"/>
      <c r="AE741" s="26"/>
      <c r="AF741" s="26"/>
      <c r="AG741" s="26"/>
      <c r="AH741" s="26"/>
      <c r="AI741" s="26"/>
      <c r="AJ741" s="26"/>
      <c r="AK741" s="26"/>
      <c r="AL741" s="26"/>
      <c r="AM741" s="26"/>
      <c r="AN741" s="26"/>
      <c r="AO741" s="26"/>
      <c r="AP741" s="26"/>
      <c r="AQ741" s="26"/>
      <c r="AR741" s="26"/>
      <c r="AS741" s="26"/>
      <c r="AT741" s="26"/>
      <c r="AU741" s="26"/>
      <c r="AV741" s="26"/>
      <c r="AW741" s="26"/>
      <c r="AX741" s="26"/>
      <c r="AY741" s="26"/>
    </row>
    <row r="742" spans="2:51">
      <c r="B742" s="32" t="s">
        <v>179</v>
      </c>
      <c r="C742" s="12" t="e">
        <f>#REF!/IF(#REF!=0,1,#REF!%)+#REF!/IF(#REF!=0,1,#REF!%)+#REF!/IF(#REF!=0,1,#REF!%)+#REF!/IF(#REF!=0,1,#REF!%)+#REF!/IF(#REF!=0,1,#REF!%)+#REF!/IF(#REF!=0,1,#REF!%)</f>
        <v>#REF!</v>
      </c>
      <c r="D742" s="12" t="e">
        <f>#REF!/IF(#REF!=0,1,#REF!%)+#REF!/IF(#REF!=0,1,#REF!%)+#REF!/IF(#REF!=0,1,#REF!%)+#REF!/IF(#REF!=0,1,#REF!%)+#REF!/IF(#REF!=0,1,#REF!%)+#REF!/IF(#REF!=0,1,#REF!%)</f>
        <v>#REF!</v>
      </c>
      <c r="E742" s="12" t="e">
        <f>#REF!/IF(#REF!=0,1,#REF!%)+#REF!/IF(#REF!=0,1,#REF!%)+#REF!/IF(#REF!=0,1,#REF!%)+#REF!/IF(#REF!=0,1,#REF!%)+#REF!/IF(#REF!=0,1,#REF!%)+#REF!/IF(#REF!=0,1,#REF!%)</f>
        <v>#REF!</v>
      </c>
      <c r="F742" s="12" t="e">
        <f>#REF!/IF(#REF!=0,1,#REF!%)+#REF!/IF(#REF!=0,1,#REF!%)+#REF!/IF(#REF!=0,1,#REF!%)+#REF!/IF(#REF!=0,1,#REF!%)+#REF!/IF(#REF!=0,1,#REF!%)+#REF!/IF(#REF!=0,1,#REF!%)</f>
        <v>#REF!</v>
      </c>
      <c r="G742" s="12" t="e">
        <f>#REF!/IF(#REF!=0,1,#REF!%)+#REF!/IF(#REF!=0,1,#REF!%)+#REF!/IF(#REF!=0,1,#REF!%)+#REF!/IF(#REF!=0,1,#REF!%)+#REF!/IF(#REF!=0,1,#REF!%)+#REF!/IF(#REF!=0,1,#REF!%)</f>
        <v>#REF!</v>
      </c>
      <c r="H742" s="12" t="e">
        <f>#REF!/IF(#REF!=0,1,#REF!%)+#REF!/IF(#REF!=0,1,#REF!%)+#REF!/IF(#REF!=0,1,#REF!%)+#REF!/IF(#REF!=0,1,#REF!%)+#REF!/IF(#REF!=0,1,#REF!%)+#REF!/IF(#REF!=0,1,#REF!%)</f>
        <v>#REF!</v>
      </c>
      <c r="I742" s="12" t="e">
        <f>#REF!/IF(#REF!=0,1,#REF!%)+#REF!/IF(#REF!=0,1,#REF!%)+#REF!/IF(#REF!=0,1,#REF!%)+#REF!/IF(#REF!=0,1,#REF!%)+#REF!/IF(#REF!=0,1,#REF!%)+#REF!/IF(#REF!=0,1,#REF!%)</f>
        <v>#REF!</v>
      </c>
      <c r="J742" s="12" t="e">
        <f>#REF!/IF(#REF!=0,1,#REF!%)+#REF!/IF(#REF!=0,1,#REF!%)+#REF!/IF(#REF!=0,1,#REF!%)+#REF!/IF(#REF!=0,1,#REF!%)+#REF!/IF(#REF!=0,1,#REF!%)+#REF!/IF(#REF!=0,1,#REF!%)</f>
        <v>#REF!</v>
      </c>
      <c r="K742" s="12"/>
      <c r="L742" s="72" t="e">
        <f t="shared" si="13"/>
        <v>#REF!</v>
      </c>
      <c r="S742" s="26"/>
      <c r="T742" s="26"/>
      <c r="U742" s="26"/>
      <c r="V742" s="26"/>
      <c r="W742" s="26"/>
      <c r="X742" s="26"/>
      <c r="Y742" s="26"/>
      <c r="Z742" s="26"/>
      <c r="AA742" s="26"/>
      <c r="AB742" s="26"/>
      <c r="AC742" s="26"/>
      <c r="AD742" s="26"/>
      <c r="AE742" s="26"/>
      <c r="AF742" s="26"/>
      <c r="AG742" s="26"/>
      <c r="AH742" s="26"/>
      <c r="AI742" s="26"/>
      <c r="AJ742" s="26"/>
      <c r="AK742" s="26"/>
      <c r="AL742" s="26"/>
      <c r="AM742" s="26"/>
      <c r="AN742" s="26"/>
      <c r="AO742" s="26"/>
      <c r="AP742" s="26"/>
      <c r="AQ742" s="26"/>
      <c r="AR742" s="26"/>
      <c r="AS742" s="26"/>
      <c r="AT742" s="26"/>
      <c r="AU742" s="26"/>
      <c r="AV742" s="26"/>
      <c r="AW742" s="26"/>
      <c r="AX742" s="26"/>
      <c r="AY742" s="26"/>
    </row>
    <row r="743" spans="2:51">
      <c r="B743" s="32" t="s">
        <v>211</v>
      </c>
      <c r="C743" s="12"/>
      <c r="D743" s="12"/>
      <c r="E743" s="12"/>
      <c r="F743" s="12"/>
      <c r="G743" s="12"/>
      <c r="H743" s="12" t="e">
        <f>(-#REF!)</f>
        <v>#REF!</v>
      </c>
      <c r="I743" s="73"/>
      <c r="J743" s="73"/>
      <c r="K743" s="12"/>
      <c r="L743" s="72" t="e">
        <f t="shared" si="13"/>
        <v>#REF!</v>
      </c>
      <c r="S743" s="26"/>
      <c r="T743" s="26"/>
      <c r="U743" s="26"/>
      <c r="V743" s="26"/>
      <c r="W743" s="26"/>
      <c r="X743" s="26"/>
      <c r="Y743" s="26"/>
      <c r="Z743" s="26"/>
      <c r="AA743" s="26"/>
      <c r="AB743" s="26"/>
      <c r="AC743" s="26"/>
      <c r="AD743" s="26"/>
      <c r="AE743" s="26"/>
      <c r="AF743" s="26"/>
      <c r="AG743" s="26"/>
      <c r="AH743" s="26"/>
      <c r="AI743" s="26"/>
      <c r="AJ743" s="26"/>
      <c r="AK743" s="26"/>
      <c r="AL743" s="26"/>
      <c r="AM743" s="26"/>
      <c r="AN743" s="26"/>
      <c r="AO743" s="26"/>
      <c r="AP743" s="26"/>
      <c r="AQ743" s="26"/>
      <c r="AR743" s="26"/>
      <c r="AS743" s="26"/>
      <c r="AT743" s="26"/>
      <c r="AU743" s="26"/>
      <c r="AV743" s="26"/>
      <c r="AW743" s="26"/>
      <c r="AX743" s="26"/>
      <c r="AY743" s="26"/>
    </row>
    <row r="744" spans="2:51">
      <c r="B744" s="32" t="s">
        <v>143</v>
      </c>
      <c r="C744" s="12"/>
      <c r="D744" s="12"/>
      <c r="E744" s="12"/>
      <c r="F744" s="12"/>
      <c r="G744" s="12"/>
      <c r="H744" s="12" t="e">
        <f>#REF!+#REF!+#REF!+#REF!</f>
        <v>#REF!</v>
      </c>
      <c r="I744" s="73"/>
      <c r="J744" s="73"/>
      <c r="K744" s="12"/>
      <c r="L744" s="72" t="e">
        <f t="shared" si="13"/>
        <v>#REF!</v>
      </c>
      <c r="S744" s="26"/>
      <c r="T744" s="26"/>
      <c r="U744" s="26"/>
      <c r="V744" s="26"/>
      <c r="W744" s="26"/>
      <c r="X744" s="26"/>
      <c r="Y744" s="26"/>
      <c r="Z744" s="26"/>
      <c r="AA744" s="26"/>
      <c r="AB744" s="26"/>
      <c r="AC744" s="26"/>
      <c r="AD744" s="26"/>
      <c r="AE744" s="26"/>
      <c r="AF744" s="26"/>
      <c r="AG744" s="26"/>
      <c r="AH744" s="26"/>
      <c r="AI744" s="26"/>
      <c r="AJ744" s="26"/>
      <c r="AK744" s="26"/>
      <c r="AL744" s="26"/>
      <c r="AM744" s="26"/>
      <c r="AN744" s="26"/>
      <c r="AO744" s="26"/>
      <c r="AP744" s="26"/>
      <c r="AQ744" s="26"/>
      <c r="AR744" s="26"/>
      <c r="AS744" s="26"/>
      <c r="AT744" s="26"/>
      <c r="AU744" s="26"/>
      <c r="AV744" s="26"/>
      <c r="AW744" s="26"/>
      <c r="AX744" s="26"/>
      <c r="AY744" s="26"/>
    </row>
    <row r="745" spans="2:51">
      <c r="B745" s="32" t="s">
        <v>180</v>
      </c>
      <c r="C745" s="12" t="e">
        <f>#REF!/#REF!%+#REF!</f>
        <v>#REF!</v>
      </c>
      <c r="D745" s="12"/>
      <c r="E745" s="12"/>
      <c r="F745" s="12"/>
      <c r="G745" s="12"/>
      <c r="H745" s="12"/>
      <c r="I745" s="73"/>
      <c r="J745" s="73"/>
      <c r="K745" s="12"/>
      <c r="L745" s="72" t="e">
        <f t="shared" si="13"/>
        <v>#REF!</v>
      </c>
      <c r="S745" s="26"/>
      <c r="T745" s="26"/>
      <c r="U745" s="26"/>
      <c r="V745" s="26"/>
      <c r="W745" s="26"/>
      <c r="X745" s="26"/>
      <c r="Y745" s="26"/>
      <c r="Z745" s="26"/>
      <c r="AA745" s="26"/>
      <c r="AB745" s="26"/>
      <c r="AC745" s="26"/>
      <c r="AD745" s="26"/>
      <c r="AE745" s="26"/>
      <c r="AF745" s="26"/>
      <c r="AG745" s="26"/>
      <c r="AH745" s="26"/>
      <c r="AI745" s="26"/>
      <c r="AJ745" s="26"/>
      <c r="AK745" s="26"/>
      <c r="AL745" s="26"/>
      <c r="AM745" s="26"/>
      <c r="AN745" s="26"/>
      <c r="AO745" s="26"/>
      <c r="AP745" s="26"/>
      <c r="AQ745" s="26"/>
      <c r="AR745" s="26"/>
      <c r="AS745" s="26"/>
      <c r="AT745" s="26"/>
      <c r="AU745" s="26"/>
      <c r="AV745" s="26"/>
      <c r="AW745" s="26"/>
      <c r="AX745" s="26"/>
      <c r="AY745" s="26"/>
    </row>
    <row r="746" spans="2:51">
      <c r="B746" s="55" t="s">
        <v>147</v>
      </c>
      <c r="C746" s="56" t="e">
        <f t="shared" ref="C746:K746" si="14">SUM(C732:C745)</f>
        <v>#REF!</v>
      </c>
      <c r="D746" s="56" t="e">
        <f t="shared" si="14"/>
        <v>#REF!</v>
      </c>
      <c r="E746" s="56" t="e">
        <f t="shared" si="14"/>
        <v>#REF!</v>
      </c>
      <c r="F746" s="56" t="e">
        <f t="shared" si="14"/>
        <v>#REF!</v>
      </c>
      <c r="G746" s="56" t="e">
        <f t="shared" si="14"/>
        <v>#REF!</v>
      </c>
      <c r="H746" s="56" t="e">
        <f t="shared" si="14"/>
        <v>#REF!</v>
      </c>
      <c r="I746" s="74" t="e">
        <f t="shared" si="14"/>
        <v>#REF!</v>
      </c>
      <c r="J746" s="74" t="e">
        <f t="shared" si="14"/>
        <v>#REF!</v>
      </c>
      <c r="K746" s="56" t="e">
        <f t="shared" si="14"/>
        <v>#REF!</v>
      </c>
      <c r="L746" s="72" t="e">
        <f>SUM(C746:K746)</f>
        <v>#REF!</v>
      </c>
      <c r="S746" s="26"/>
      <c r="T746" s="26"/>
      <c r="U746" s="26"/>
      <c r="V746" s="26"/>
      <c r="W746" s="26"/>
      <c r="X746" s="26"/>
      <c r="Y746" s="26"/>
      <c r="Z746" s="26"/>
      <c r="AA746" s="26"/>
      <c r="AB746" s="26"/>
      <c r="AC746" s="26"/>
      <c r="AD746" s="26"/>
      <c r="AE746" s="26"/>
      <c r="AF746" s="26"/>
      <c r="AG746" s="26"/>
      <c r="AH746" s="26"/>
      <c r="AI746" s="26"/>
      <c r="AJ746" s="26"/>
      <c r="AK746" s="26"/>
      <c r="AL746" s="26"/>
      <c r="AM746" s="26"/>
      <c r="AN746" s="26"/>
      <c r="AO746" s="26"/>
      <c r="AP746" s="26"/>
      <c r="AQ746" s="26"/>
      <c r="AR746" s="26"/>
      <c r="AS746" s="26"/>
      <c r="AT746" s="26"/>
      <c r="AU746" s="26"/>
      <c r="AV746" s="26"/>
      <c r="AW746" s="26"/>
      <c r="AX746" s="26"/>
      <c r="AY746" s="26"/>
    </row>
    <row r="747" spans="2:51">
      <c r="B747" s="31"/>
      <c r="C747" s="75"/>
      <c r="D747" s="50"/>
      <c r="S747" s="26"/>
      <c r="T747" s="26"/>
      <c r="U747" s="26"/>
      <c r="V747" s="26"/>
      <c r="W747" s="26"/>
      <c r="X747" s="26"/>
      <c r="Y747" s="26"/>
      <c r="Z747" s="26"/>
      <c r="AA747" s="26"/>
      <c r="AB747" s="26"/>
      <c r="AC747" s="26"/>
      <c r="AD747" s="26"/>
      <c r="AE747" s="26"/>
      <c r="AF747" s="26"/>
      <c r="AG747" s="26"/>
      <c r="AH747" s="26"/>
      <c r="AI747" s="26"/>
      <c r="AJ747" s="26"/>
      <c r="AK747" s="26"/>
      <c r="AL747" s="26"/>
      <c r="AM747" s="26"/>
      <c r="AN747" s="26"/>
      <c r="AO747" s="26"/>
      <c r="AP747" s="26"/>
      <c r="AQ747" s="26"/>
      <c r="AR747" s="26"/>
      <c r="AS747" s="26"/>
      <c r="AT747" s="26"/>
      <c r="AU747" s="26"/>
      <c r="AV747" s="26"/>
      <c r="AW747" s="26"/>
      <c r="AX747" s="26"/>
      <c r="AY747" s="26"/>
    </row>
    <row r="748" spans="2:51">
      <c r="B748" s="31"/>
      <c r="C748" s="50"/>
      <c r="D748" s="50"/>
      <c r="S748" s="26"/>
      <c r="T748" s="26"/>
      <c r="U748" s="26"/>
      <c r="V748" s="26"/>
      <c r="W748" s="26"/>
      <c r="X748" s="26"/>
      <c r="Y748" s="26"/>
      <c r="Z748" s="26"/>
      <c r="AA748" s="26"/>
      <c r="AB748" s="26"/>
      <c r="AC748" s="26"/>
      <c r="AD748" s="26"/>
      <c r="AE748" s="26"/>
      <c r="AF748" s="26"/>
      <c r="AG748" s="26"/>
      <c r="AH748" s="26"/>
      <c r="AI748" s="26"/>
      <c r="AJ748" s="26"/>
      <c r="AK748" s="26"/>
      <c r="AL748" s="26"/>
      <c r="AM748" s="26"/>
      <c r="AN748" s="26"/>
      <c r="AO748" s="26"/>
      <c r="AP748" s="26"/>
      <c r="AQ748" s="26"/>
      <c r="AR748" s="26"/>
      <c r="AS748" s="26"/>
      <c r="AT748" s="26"/>
      <c r="AU748" s="26"/>
      <c r="AV748" s="26"/>
      <c r="AW748" s="26"/>
      <c r="AX748" s="26"/>
      <c r="AY748" s="26"/>
    </row>
    <row r="749" spans="2:51">
      <c r="B749" s="59" t="s">
        <v>231</v>
      </c>
      <c r="C749" s="50"/>
      <c r="D749" s="50"/>
      <c r="S749" s="26"/>
      <c r="T749" s="26"/>
      <c r="U749" s="26"/>
      <c r="V749" s="26"/>
      <c r="W749" s="26"/>
      <c r="X749" s="26"/>
      <c r="Y749" s="26"/>
      <c r="Z749" s="26"/>
      <c r="AA749" s="26"/>
      <c r="AB749" s="26"/>
      <c r="AC749" s="26"/>
      <c r="AD749" s="26"/>
      <c r="AE749" s="26"/>
      <c r="AF749" s="26"/>
      <c r="AG749" s="26"/>
      <c r="AH749" s="26"/>
      <c r="AI749" s="26"/>
      <c r="AJ749" s="26"/>
      <c r="AK749" s="26"/>
      <c r="AL749" s="26"/>
      <c r="AM749" s="26"/>
      <c r="AN749" s="26"/>
      <c r="AO749" s="26"/>
      <c r="AP749" s="26"/>
      <c r="AQ749" s="26"/>
      <c r="AR749" s="26"/>
      <c r="AS749" s="26"/>
      <c r="AT749" s="26"/>
      <c r="AU749" s="26"/>
      <c r="AV749" s="26"/>
      <c r="AW749" s="26"/>
      <c r="AX749" s="26"/>
      <c r="AY749" s="26"/>
    </row>
    <row r="750" spans="2:51">
      <c r="B750" s="31"/>
      <c r="C750" s="50"/>
      <c r="D750" s="50"/>
      <c r="S750" s="26"/>
      <c r="T750" s="26"/>
      <c r="U750" s="26"/>
      <c r="V750" s="26"/>
      <c r="W750" s="26"/>
      <c r="X750" s="26"/>
      <c r="Y750" s="26"/>
      <c r="Z750" s="26"/>
      <c r="AA750" s="26"/>
      <c r="AB750" s="26"/>
      <c r="AC750" s="26"/>
      <c r="AD750" s="26"/>
      <c r="AE750" s="26"/>
      <c r="AF750" s="26"/>
      <c r="AG750" s="26"/>
      <c r="AH750" s="26"/>
      <c r="AI750" s="26"/>
      <c r="AJ750" s="26"/>
      <c r="AK750" s="26"/>
      <c r="AL750" s="26"/>
      <c r="AM750" s="26"/>
      <c r="AN750" s="26"/>
      <c r="AO750" s="26"/>
      <c r="AP750" s="26"/>
      <c r="AQ750" s="26"/>
      <c r="AR750" s="26"/>
      <c r="AS750" s="26"/>
      <c r="AT750" s="26"/>
      <c r="AU750" s="26"/>
      <c r="AV750" s="26"/>
      <c r="AW750" s="26"/>
      <c r="AX750" s="26"/>
      <c r="AY750" s="26"/>
    </row>
    <row r="751" spans="2:51">
      <c r="B751" s="31"/>
      <c r="C751" s="50"/>
      <c r="D751" s="50"/>
      <c r="S751" s="26"/>
      <c r="T751" s="26"/>
      <c r="U751" s="26"/>
      <c r="V751" s="26"/>
      <c r="W751" s="26"/>
      <c r="X751" s="26"/>
      <c r="Y751" s="26"/>
      <c r="Z751" s="26"/>
      <c r="AA751" s="26"/>
      <c r="AB751" s="26"/>
      <c r="AC751" s="26"/>
      <c r="AD751" s="26"/>
      <c r="AE751" s="26"/>
      <c r="AF751" s="26"/>
      <c r="AG751" s="26"/>
      <c r="AH751" s="26"/>
      <c r="AI751" s="26"/>
      <c r="AJ751" s="26"/>
      <c r="AK751" s="26"/>
      <c r="AL751" s="26"/>
      <c r="AM751" s="26"/>
      <c r="AN751" s="26"/>
      <c r="AO751" s="26"/>
      <c r="AP751" s="26"/>
      <c r="AQ751" s="26"/>
      <c r="AR751" s="26"/>
      <c r="AS751" s="26"/>
      <c r="AT751" s="26"/>
      <c r="AU751" s="26"/>
      <c r="AV751" s="26"/>
      <c r="AW751" s="26"/>
      <c r="AX751" s="26"/>
      <c r="AY751" s="26"/>
    </row>
    <row r="752" spans="2:51">
      <c r="B752" s="31"/>
      <c r="C752" s="50"/>
      <c r="D752" s="50"/>
      <c r="S752" s="26"/>
      <c r="T752" s="26"/>
      <c r="U752" s="26"/>
      <c r="V752" s="26"/>
      <c r="W752" s="26"/>
      <c r="X752" s="26"/>
      <c r="Y752" s="26"/>
      <c r="Z752" s="26"/>
      <c r="AA752" s="26"/>
      <c r="AB752" s="26"/>
      <c r="AC752" s="26"/>
      <c r="AD752" s="26"/>
      <c r="AE752" s="26"/>
      <c r="AF752" s="26"/>
      <c r="AG752" s="26"/>
      <c r="AH752" s="26"/>
      <c r="AI752" s="26"/>
      <c r="AJ752" s="26"/>
      <c r="AK752" s="26"/>
      <c r="AL752" s="26"/>
      <c r="AM752" s="26"/>
      <c r="AN752" s="26"/>
      <c r="AO752" s="26"/>
      <c r="AP752" s="26"/>
      <c r="AQ752" s="26"/>
      <c r="AR752" s="26"/>
      <c r="AS752" s="26"/>
      <c r="AT752" s="26"/>
      <c r="AU752" s="26"/>
      <c r="AV752" s="26"/>
      <c r="AW752" s="26"/>
      <c r="AX752" s="26"/>
      <c r="AY752" s="26"/>
    </row>
    <row r="753" spans="2:51">
      <c r="B753" s="31"/>
      <c r="C753" s="50"/>
      <c r="D753" s="50"/>
      <c r="S753" s="26"/>
      <c r="T753" s="26"/>
      <c r="U753" s="26"/>
      <c r="V753" s="26"/>
      <c r="W753" s="26"/>
      <c r="X753" s="26"/>
      <c r="Y753" s="26"/>
      <c r="Z753" s="26"/>
      <c r="AA753" s="26"/>
      <c r="AB753" s="26"/>
      <c r="AC753" s="26"/>
      <c r="AD753" s="26"/>
      <c r="AE753" s="26"/>
      <c r="AF753" s="26"/>
      <c r="AG753" s="26"/>
      <c r="AH753" s="26"/>
      <c r="AI753" s="26"/>
      <c r="AJ753" s="26"/>
      <c r="AK753" s="26"/>
      <c r="AL753" s="26"/>
      <c r="AM753" s="26"/>
      <c r="AN753" s="26"/>
      <c r="AO753" s="26"/>
      <c r="AP753" s="26"/>
      <c r="AQ753" s="26"/>
      <c r="AR753" s="26"/>
      <c r="AS753" s="26"/>
      <c r="AT753" s="26"/>
      <c r="AU753" s="26"/>
      <c r="AV753" s="26"/>
      <c r="AW753" s="26"/>
      <c r="AX753" s="26"/>
      <c r="AY753" s="26"/>
    </row>
    <row r="754" spans="2:51">
      <c r="B754" s="31"/>
      <c r="C754" s="50"/>
      <c r="D754" s="50"/>
      <c r="S754" s="26"/>
      <c r="T754" s="26"/>
      <c r="U754" s="26"/>
      <c r="V754" s="26"/>
      <c r="W754" s="26"/>
      <c r="X754" s="26"/>
      <c r="Y754" s="26"/>
      <c r="Z754" s="26"/>
      <c r="AA754" s="26"/>
      <c r="AB754" s="26"/>
      <c r="AC754" s="26"/>
      <c r="AD754" s="26"/>
      <c r="AE754" s="26"/>
      <c r="AF754" s="26"/>
      <c r="AG754" s="26"/>
      <c r="AH754" s="26"/>
      <c r="AI754" s="26"/>
      <c r="AJ754" s="26"/>
      <c r="AK754" s="26"/>
      <c r="AL754" s="26"/>
      <c r="AM754" s="26"/>
      <c r="AN754" s="26"/>
      <c r="AO754" s="26"/>
      <c r="AP754" s="26"/>
      <c r="AQ754" s="26"/>
      <c r="AR754" s="26"/>
      <c r="AS754" s="26"/>
      <c r="AT754" s="26"/>
      <c r="AU754" s="26"/>
      <c r="AV754" s="26"/>
      <c r="AW754" s="26"/>
      <c r="AX754" s="26"/>
      <c r="AY754" s="26"/>
    </row>
    <row r="755" spans="2:51">
      <c r="B755" s="31"/>
      <c r="C755" s="50"/>
      <c r="D755" s="50"/>
      <c r="S755" s="26"/>
      <c r="T755" s="26"/>
      <c r="U755" s="26"/>
      <c r="V755" s="26"/>
      <c r="W755" s="26"/>
      <c r="X755" s="26"/>
      <c r="Y755" s="26"/>
      <c r="Z755" s="26"/>
      <c r="AA755" s="26"/>
      <c r="AB755" s="26"/>
      <c r="AC755" s="26"/>
      <c r="AD755" s="26"/>
      <c r="AE755" s="26"/>
      <c r="AF755" s="26"/>
      <c r="AG755" s="26"/>
      <c r="AH755" s="26"/>
      <c r="AI755" s="26"/>
      <c r="AJ755" s="26"/>
      <c r="AK755" s="26"/>
      <c r="AL755" s="26"/>
      <c r="AM755" s="26"/>
      <c r="AN755" s="26"/>
      <c r="AO755" s="26"/>
      <c r="AP755" s="26"/>
      <c r="AQ755" s="26"/>
      <c r="AR755" s="26"/>
      <c r="AS755" s="26"/>
      <c r="AT755" s="26"/>
      <c r="AU755" s="26"/>
      <c r="AV755" s="26"/>
      <c r="AW755" s="26"/>
      <c r="AX755" s="26"/>
      <c r="AY755" s="26"/>
    </row>
    <row r="756" spans="2:51">
      <c r="B756" s="31"/>
      <c r="C756" s="50"/>
      <c r="D756" s="50"/>
      <c r="S756" s="26"/>
      <c r="T756" s="26"/>
      <c r="U756" s="26"/>
      <c r="V756" s="26"/>
      <c r="W756" s="26"/>
      <c r="X756" s="26"/>
      <c r="Y756" s="26"/>
      <c r="Z756" s="26"/>
      <c r="AA756" s="26"/>
      <c r="AB756" s="26"/>
      <c r="AC756" s="26"/>
      <c r="AD756" s="26"/>
      <c r="AE756" s="26"/>
      <c r="AF756" s="26"/>
      <c r="AG756" s="26"/>
      <c r="AH756" s="26"/>
      <c r="AI756" s="26"/>
      <c r="AJ756" s="26"/>
      <c r="AK756" s="26"/>
      <c r="AL756" s="26"/>
      <c r="AM756" s="26"/>
      <c r="AN756" s="26"/>
      <c r="AO756" s="26"/>
      <c r="AP756" s="26"/>
      <c r="AQ756" s="26"/>
      <c r="AR756" s="26"/>
      <c r="AS756" s="26"/>
      <c r="AT756" s="26"/>
      <c r="AU756" s="26"/>
      <c r="AV756" s="26"/>
      <c r="AW756" s="26"/>
      <c r="AX756" s="26"/>
      <c r="AY756" s="26"/>
    </row>
    <row r="757" spans="2:51">
      <c r="B757" s="31"/>
      <c r="C757" s="50"/>
      <c r="D757" s="50"/>
      <c r="S757" s="26"/>
      <c r="T757" s="26"/>
      <c r="U757" s="26"/>
      <c r="V757" s="26"/>
      <c r="W757" s="26"/>
      <c r="X757" s="26"/>
      <c r="Y757" s="26"/>
      <c r="Z757" s="26"/>
      <c r="AA757" s="26"/>
      <c r="AB757" s="26"/>
      <c r="AC757" s="26"/>
      <c r="AD757" s="26"/>
      <c r="AE757" s="26"/>
      <c r="AF757" s="26"/>
      <c r="AG757" s="26"/>
      <c r="AH757" s="26"/>
      <c r="AI757" s="26"/>
      <c r="AJ757" s="26"/>
      <c r="AK757" s="26"/>
      <c r="AL757" s="26"/>
      <c r="AM757" s="26"/>
      <c r="AN757" s="26"/>
      <c r="AO757" s="26"/>
      <c r="AP757" s="26"/>
      <c r="AQ757" s="26"/>
      <c r="AR757" s="26"/>
      <c r="AS757" s="26"/>
      <c r="AT757" s="26"/>
      <c r="AU757" s="26"/>
      <c r="AV757" s="26"/>
      <c r="AW757" s="26"/>
      <c r="AX757" s="26"/>
      <c r="AY757" s="26"/>
    </row>
    <row r="758" spans="2:51">
      <c r="B758" s="31"/>
      <c r="C758" s="50"/>
      <c r="D758" s="50"/>
      <c r="S758" s="26"/>
      <c r="T758" s="26"/>
      <c r="U758" s="26"/>
      <c r="V758" s="26"/>
      <c r="W758" s="26"/>
      <c r="X758" s="26"/>
      <c r="Y758" s="26"/>
      <c r="Z758" s="26"/>
      <c r="AA758" s="26"/>
      <c r="AB758" s="26"/>
      <c r="AC758" s="26"/>
      <c r="AD758" s="26"/>
      <c r="AE758" s="26"/>
      <c r="AF758" s="26"/>
      <c r="AG758" s="26"/>
      <c r="AH758" s="26"/>
      <c r="AI758" s="26"/>
      <c r="AJ758" s="26"/>
      <c r="AK758" s="26"/>
      <c r="AL758" s="26"/>
      <c r="AM758" s="26"/>
      <c r="AN758" s="26"/>
      <c r="AO758" s="26"/>
      <c r="AP758" s="26"/>
      <c r="AQ758" s="26"/>
      <c r="AR758" s="26"/>
      <c r="AS758" s="26"/>
      <c r="AT758" s="26"/>
      <c r="AU758" s="26"/>
      <c r="AV758" s="26"/>
      <c r="AW758" s="26"/>
      <c r="AX758" s="26"/>
      <c r="AY758" s="26"/>
    </row>
    <row r="759" spans="2:51">
      <c r="B759" s="31"/>
      <c r="C759" s="50"/>
      <c r="D759" s="50"/>
      <c r="S759" s="26"/>
      <c r="T759" s="26"/>
      <c r="U759" s="26"/>
      <c r="V759" s="26"/>
      <c r="W759" s="26"/>
      <c r="X759" s="26"/>
      <c r="Y759" s="26"/>
      <c r="Z759" s="26"/>
      <c r="AA759" s="26"/>
      <c r="AB759" s="26"/>
      <c r="AC759" s="26"/>
      <c r="AD759" s="26"/>
      <c r="AE759" s="26"/>
      <c r="AF759" s="26"/>
      <c r="AG759" s="26"/>
      <c r="AH759" s="26"/>
      <c r="AI759" s="26"/>
      <c r="AJ759" s="26"/>
      <c r="AK759" s="26"/>
      <c r="AL759" s="26"/>
      <c r="AM759" s="26"/>
      <c r="AN759" s="26"/>
      <c r="AO759" s="26"/>
      <c r="AP759" s="26"/>
      <c r="AQ759" s="26"/>
      <c r="AR759" s="26"/>
      <c r="AS759" s="26"/>
      <c r="AT759" s="26"/>
      <c r="AU759" s="26"/>
      <c r="AV759" s="26"/>
      <c r="AW759" s="26"/>
      <c r="AX759" s="26"/>
      <c r="AY759" s="26"/>
    </row>
    <row r="760" spans="2:51">
      <c r="B760" s="31"/>
      <c r="C760" s="50"/>
      <c r="D760" s="50"/>
      <c r="S760" s="26"/>
      <c r="T760" s="26"/>
      <c r="U760" s="26"/>
      <c r="V760" s="26"/>
      <c r="W760" s="26"/>
      <c r="X760" s="26"/>
      <c r="Y760" s="26"/>
      <c r="Z760" s="26"/>
      <c r="AA760" s="26"/>
      <c r="AB760" s="26"/>
      <c r="AC760" s="26"/>
      <c r="AD760" s="26"/>
      <c r="AE760" s="26"/>
      <c r="AF760" s="26"/>
      <c r="AG760" s="26"/>
      <c r="AH760" s="26"/>
      <c r="AI760" s="26"/>
      <c r="AJ760" s="26"/>
      <c r="AK760" s="26"/>
      <c r="AL760" s="26"/>
      <c r="AM760" s="26"/>
      <c r="AN760" s="26"/>
      <c r="AO760" s="26"/>
      <c r="AP760" s="26"/>
      <c r="AQ760" s="26"/>
      <c r="AR760" s="26"/>
      <c r="AS760" s="26"/>
      <c r="AT760" s="26"/>
      <c r="AU760" s="26"/>
      <c r="AV760" s="26"/>
      <c r="AW760" s="26"/>
      <c r="AX760" s="26"/>
      <c r="AY760" s="26"/>
    </row>
    <row r="761" spans="2:51">
      <c r="B761" s="31"/>
      <c r="C761" s="50"/>
      <c r="D761" s="50"/>
      <c r="S761" s="26"/>
      <c r="T761" s="26"/>
      <c r="U761" s="26"/>
      <c r="V761" s="26"/>
      <c r="W761" s="26"/>
      <c r="X761" s="26"/>
      <c r="Y761" s="26"/>
      <c r="Z761" s="26"/>
      <c r="AA761" s="26"/>
      <c r="AB761" s="26"/>
      <c r="AC761" s="26"/>
      <c r="AD761" s="26"/>
      <c r="AE761" s="26"/>
      <c r="AF761" s="26"/>
      <c r="AG761" s="26"/>
      <c r="AH761" s="26"/>
      <c r="AI761" s="26"/>
      <c r="AJ761" s="26"/>
      <c r="AK761" s="26"/>
      <c r="AL761" s="26"/>
      <c r="AM761" s="26"/>
      <c r="AN761" s="26"/>
      <c r="AO761" s="26"/>
      <c r="AP761" s="26"/>
      <c r="AQ761" s="26"/>
      <c r="AR761" s="26"/>
      <c r="AS761" s="26"/>
      <c r="AT761" s="26"/>
      <c r="AU761" s="26"/>
      <c r="AV761" s="26"/>
      <c r="AW761" s="26"/>
      <c r="AX761" s="26"/>
      <c r="AY761" s="26"/>
    </row>
    <row r="762" spans="2:51">
      <c r="B762" s="31"/>
      <c r="C762" s="50"/>
      <c r="D762" s="50"/>
      <c r="S762" s="26"/>
      <c r="T762" s="26"/>
      <c r="U762" s="26"/>
      <c r="V762" s="26"/>
      <c r="W762" s="26"/>
      <c r="X762" s="26"/>
      <c r="Y762" s="26"/>
      <c r="Z762" s="26"/>
      <c r="AA762" s="26"/>
      <c r="AB762" s="26"/>
      <c r="AC762" s="26"/>
      <c r="AD762" s="26"/>
      <c r="AE762" s="26"/>
      <c r="AF762" s="26"/>
      <c r="AG762" s="26"/>
      <c r="AH762" s="26"/>
      <c r="AI762" s="26"/>
      <c r="AJ762" s="26"/>
      <c r="AK762" s="26"/>
      <c r="AL762" s="26"/>
      <c r="AM762" s="26"/>
      <c r="AN762" s="26"/>
      <c r="AO762" s="26"/>
      <c r="AP762" s="26"/>
      <c r="AQ762" s="26"/>
      <c r="AR762" s="26"/>
      <c r="AS762" s="26"/>
      <c r="AT762" s="26"/>
      <c r="AU762" s="26"/>
      <c r="AV762" s="26"/>
      <c r="AW762" s="26"/>
      <c r="AX762" s="26"/>
      <c r="AY762" s="26"/>
    </row>
    <row r="763" spans="2:51">
      <c r="B763" s="31"/>
      <c r="C763" s="50"/>
      <c r="D763" s="50"/>
      <c r="S763" s="26"/>
      <c r="T763" s="26"/>
      <c r="U763" s="26"/>
      <c r="V763" s="26"/>
      <c r="W763" s="26"/>
      <c r="X763" s="26"/>
      <c r="Y763" s="26"/>
      <c r="Z763" s="26"/>
      <c r="AA763" s="26"/>
      <c r="AB763" s="26"/>
      <c r="AC763" s="26"/>
      <c r="AD763" s="26"/>
      <c r="AE763" s="26"/>
      <c r="AF763" s="26"/>
      <c r="AG763" s="26"/>
      <c r="AH763" s="26"/>
      <c r="AI763" s="26"/>
      <c r="AJ763" s="26"/>
      <c r="AK763" s="26"/>
      <c r="AL763" s="26"/>
      <c r="AM763" s="26"/>
      <c r="AN763" s="26"/>
      <c r="AO763" s="26"/>
      <c r="AP763" s="26"/>
      <c r="AQ763" s="26"/>
      <c r="AR763" s="26"/>
      <c r="AS763" s="26"/>
      <c r="AT763" s="26"/>
      <c r="AU763" s="26"/>
      <c r="AV763" s="26"/>
      <c r="AW763" s="26"/>
      <c r="AX763" s="26"/>
      <c r="AY763" s="26"/>
    </row>
    <row r="764" spans="2:51">
      <c r="B764" s="31"/>
      <c r="C764" s="50"/>
      <c r="D764" s="50"/>
      <c r="S764" s="26"/>
      <c r="T764" s="26"/>
      <c r="U764" s="26"/>
      <c r="V764" s="26"/>
      <c r="W764" s="26"/>
      <c r="X764" s="26"/>
      <c r="Y764" s="26"/>
      <c r="Z764" s="26"/>
      <c r="AA764" s="26"/>
      <c r="AB764" s="26"/>
      <c r="AC764" s="26"/>
      <c r="AD764" s="26"/>
      <c r="AE764" s="26"/>
      <c r="AF764" s="26"/>
      <c r="AG764" s="26"/>
      <c r="AH764" s="26"/>
      <c r="AI764" s="26"/>
      <c r="AJ764" s="26"/>
      <c r="AK764" s="26"/>
      <c r="AL764" s="26"/>
      <c r="AM764" s="26"/>
      <c r="AN764" s="26"/>
      <c r="AO764" s="26"/>
      <c r="AP764" s="26"/>
      <c r="AQ764" s="26"/>
      <c r="AR764" s="26"/>
      <c r="AS764" s="26"/>
      <c r="AT764" s="26"/>
      <c r="AU764" s="26"/>
      <c r="AV764" s="26"/>
      <c r="AW764" s="26"/>
      <c r="AX764" s="26"/>
      <c r="AY764" s="26"/>
    </row>
    <row r="765" spans="2:51">
      <c r="B765" s="31"/>
      <c r="C765" s="50"/>
      <c r="D765" s="50"/>
      <c r="S765" s="26"/>
      <c r="T765" s="26"/>
      <c r="U765" s="26"/>
      <c r="V765" s="26"/>
      <c r="W765" s="26"/>
      <c r="X765" s="26"/>
      <c r="Y765" s="26"/>
      <c r="Z765" s="26"/>
      <c r="AA765" s="26"/>
      <c r="AB765" s="26"/>
      <c r="AC765" s="26"/>
      <c r="AD765" s="26"/>
      <c r="AE765" s="26"/>
      <c r="AF765" s="26"/>
      <c r="AG765" s="26"/>
      <c r="AH765" s="26"/>
      <c r="AI765" s="26"/>
      <c r="AJ765" s="26"/>
      <c r="AK765" s="26"/>
      <c r="AL765" s="26"/>
      <c r="AM765" s="26"/>
      <c r="AN765" s="26"/>
      <c r="AO765" s="26"/>
      <c r="AP765" s="26"/>
      <c r="AQ765" s="26"/>
      <c r="AR765" s="26"/>
      <c r="AS765" s="26"/>
      <c r="AT765" s="26"/>
      <c r="AU765" s="26"/>
      <c r="AV765" s="26"/>
      <c r="AW765" s="26"/>
      <c r="AX765" s="26"/>
      <c r="AY765" s="26"/>
    </row>
    <row r="766" spans="2:51">
      <c r="B766" s="31"/>
      <c r="C766" s="50"/>
      <c r="D766" s="50"/>
      <c r="S766" s="26"/>
      <c r="T766" s="26"/>
      <c r="U766" s="26"/>
      <c r="V766" s="26"/>
      <c r="W766" s="26"/>
      <c r="X766" s="26"/>
      <c r="Y766" s="26"/>
      <c r="Z766" s="26"/>
      <c r="AA766" s="26"/>
      <c r="AB766" s="26"/>
      <c r="AC766" s="26"/>
      <c r="AD766" s="26"/>
      <c r="AE766" s="26"/>
      <c r="AF766" s="26"/>
      <c r="AG766" s="26"/>
      <c r="AH766" s="26"/>
      <c r="AI766" s="26"/>
      <c r="AJ766" s="26"/>
      <c r="AK766" s="26"/>
      <c r="AL766" s="26"/>
      <c r="AM766" s="26"/>
      <c r="AN766" s="26"/>
      <c r="AO766" s="26"/>
      <c r="AP766" s="26"/>
      <c r="AQ766" s="26"/>
      <c r="AR766" s="26"/>
      <c r="AS766" s="26"/>
      <c r="AT766" s="26"/>
      <c r="AU766" s="26"/>
      <c r="AV766" s="26"/>
      <c r="AW766" s="26"/>
      <c r="AX766" s="26"/>
      <c r="AY766" s="26"/>
    </row>
    <row r="767" spans="2:51">
      <c r="B767" s="31"/>
      <c r="C767" s="50"/>
      <c r="D767" s="50"/>
      <c r="S767" s="26"/>
      <c r="T767" s="26"/>
      <c r="U767" s="26"/>
      <c r="V767" s="26"/>
      <c r="W767" s="26"/>
      <c r="X767" s="26"/>
      <c r="Y767" s="26"/>
      <c r="Z767" s="26"/>
      <c r="AA767" s="26"/>
      <c r="AB767" s="26"/>
      <c r="AC767" s="26"/>
      <c r="AD767" s="26"/>
      <c r="AE767" s="26"/>
      <c r="AF767" s="26"/>
      <c r="AG767" s="26"/>
      <c r="AH767" s="26"/>
      <c r="AI767" s="26"/>
      <c r="AJ767" s="26"/>
      <c r="AK767" s="26"/>
      <c r="AL767" s="26"/>
      <c r="AM767" s="26"/>
      <c r="AN767" s="26"/>
      <c r="AO767" s="26"/>
      <c r="AP767" s="26"/>
      <c r="AQ767" s="26"/>
      <c r="AR767" s="26"/>
      <c r="AS767" s="26"/>
      <c r="AT767" s="26"/>
      <c r="AU767" s="26"/>
      <c r="AV767" s="26"/>
      <c r="AW767" s="26"/>
      <c r="AX767" s="26"/>
      <c r="AY767" s="26"/>
    </row>
    <row r="768" spans="2:51">
      <c r="B768" s="31"/>
      <c r="C768" s="50"/>
      <c r="D768" s="50"/>
      <c r="S768" s="26"/>
      <c r="T768" s="26"/>
      <c r="U768" s="26"/>
      <c r="V768" s="26"/>
      <c r="W768" s="26"/>
      <c r="X768" s="26"/>
      <c r="Y768" s="26"/>
      <c r="Z768" s="26"/>
      <c r="AA768" s="26"/>
      <c r="AB768" s="26"/>
      <c r="AC768" s="26"/>
      <c r="AD768" s="26"/>
      <c r="AE768" s="26"/>
      <c r="AF768" s="26"/>
      <c r="AG768" s="26"/>
      <c r="AH768" s="26"/>
      <c r="AI768" s="26"/>
      <c r="AJ768" s="26"/>
      <c r="AK768" s="26"/>
      <c r="AL768" s="26"/>
      <c r="AM768" s="26"/>
      <c r="AN768" s="26"/>
      <c r="AO768" s="26"/>
      <c r="AP768" s="26"/>
      <c r="AQ768" s="26"/>
      <c r="AR768" s="26"/>
      <c r="AS768" s="26"/>
      <c r="AT768" s="26"/>
      <c r="AU768" s="26"/>
      <c r="AV768" s="26"/>
      <c r="AW768" s="26"/>
      <c r="AX768" s="26"/>
      <c r="AY768" s="26"/>
    </row>
    <row r="769" spans="2:51">
      <c r="B769" s="31"/>
      <c r="C769" s="50"/>
      <c r="D769" s="50"/>
      <c r="S769" s="26"/>
      <c r="T769" s="26"/>
      <c r="U769" s="26"/>
      <c r="V769" s="26"/>
      <c r="W769" s="26"/>
      <c r="X769" s="26"/>
      <c r="Y769" s="26"/>
      <c r="Z769" s="26"/>
      <c r="AA769" s="26"/>
      <c r="AB769" s="26"/>
      <c r="AC769" s="26"/>
      <c r="AD769" s="26"/>
      <c r="AE769" s="26"/>
      <c r="AF769" s="26"/>
      <c r="AG769" s="26"/>
      <c r="AH769" s="26"/>
      <c r="AI769" s="26"/>
      <c r="AJ769" s="26"/>
      <c r="AK769" s="26"/>
      <c r="AL769" s="26"/>
      <c r="AM769" s="26"/>
      <c r="AN769" s="26"/>
      <c r="AO769" s="26"/>
      <c r="AP769" s="26"/>
      <c r="AQ769" s="26"/>
      <c r="AR769" s="26"/>
      <c r="AS769" s="26"/>
      <c r="AT769" s="26"/>
      <c r="AU769" s="26"/>
      <c r="AV769" s="26"/>
      <c r="AW769" s="26"/>
      <c r="AX769" s="26"/>
      <c r="AY769" s="26"/>
    </row>
    <row r="770" spans="2:51">
      <c r="B770" s="31"/>
      <c r="C770" s="50"/>
      <c r="D770" s="50"/>
      <c r="S770" s="26"/>
      <c r="T770" s="26"/>
      <c r="U770" s="26"/>
      <c r="V770" s="26"/>
      <c r="W770" s="26"/>
      <c r="X770" s="26"/>
      <c r="Y770" s="26"/>
      <c r="Z770" s="26"/>
      <c r="AA770" s="26"/>
      <c r="AB770" s="26"/>
      <c r="AC770" s="26"/>
      <c r="AD770" s="26"/>
      <c r="AE770" s="26"/>
      <c r="AF770" s="26"/>
      <c r="AG770" s="26"/>
      <c r="AH770" s="26"/>
      <c r="AI770" s="26"/>
      <c r="AJ770" s="26"/>
      <c r="AK770" s="26"/>
      <c r="AL770" s="26"/>
      <c r="AM770" s="26"/>
      <c r="AN770" s="26"/>
      <c r="AO770" s="26"/>
      <c r="AP770" s="26"/>
      <c r="AQ770" s="26"/>
      <c r="AR770" s="26"/>
      <c r="AS770" s="26"/>
      <c r="AT770" s="26"/>
      <c r="AU770" s="26"/>
      <c r="AV770" s="26"/>
      <c r="AW770" s="26"/>
      <c r="AX770" s="26"/>
      <c r="AY770" s="26"/>
    </row>
    <row r="771" spans="2:51">
      <c r="B771" s="31"/>
      <c r="C771" s="50"/>
      <c r="D771" s="50"/>
      <c r="S771" s="26"/>
      <c r="T771" s="26"/>
      <c r="U771" s="26"/>
      <c r="V771" s="26"/>
      <c r="W771" s="26"/>
      <c r="X771" s="26"/>
      <c r="Y771" s="26"/>
      <c r="Z771" s="26"/>
      <c r="AA771" s="26"/>
      <c r="AB771" s="26"/>
      <c r="AC771" s="26"/>
      <c r="AD771" s="26"/>
      <c r="AE771" s="26"/>
      <c r="AF771" s="26"/>
      <c r="AG771" s="26"/>
      <c r="AH771" s="26"/>
      <c r="AI771" s="26"/>
      <c r="AJ771" s="26"/>
      <c r="AK771" s="26"/>
      <c r="AL771" s="26"/>
      <c r="AM771" s="26"/>
      <c r="AN771" s="26"/>
      <c r="AO771" s="26"/>
      <c r="AP771" s="26"/>
      <c r="AQ771" s="26"/>
      <c r="AR771" s="26"/>
      <c r="AS771" s="26"/>
      <c r="AT771" s="26"/>
      <c r="AU771" s="26"/>
      <c r="AV771" s="26"/>
      <c r="AW771" s="26"/>
      <c r="AX771" s="26"/>
      <c r="AY771" s="26"/>
    </row>
    <row r="772" spans="2:51">
      <c r="B772" s="31"/>
      <c r="C772" s="50"/>
      <c r="D772" s="50"/>
      <c r="S772" s="26"/>
      <c r="T772" s="26"/>
      <c r="U772" s="26"/>
      <c r="V772" s="26"/>
      <c r="W772" s="26"/>
      <c r="X772" s="26"/>
      <c r="Y772" s="26"/>
      <c r="Z772" s="26"/>
      <c r="AA772" s="26"/>
      <c r="AB772" s="26"/>
      <c r="AC772" s="26"/>
      <c r="AD772" s="26"/>
      <c r="AE772" s="26"/>
      <c r="AF772" s="26"/>
      <c r="AG772" s="26"/>
      <c r="AH772" s="26"/>
      <c r="AI772" s="26"/>
      <c r="AJ772" s="26"/>
      <c r="AK772" s="26"/>
      <c r="AL772" s="26"/>
      <c r="AM772" s="26"/>
      <c r="AN772" s="26"/>
      <c r="AO772" s="26"/>
      <c r="AP772" s="26"/>
      <c r="AQ772" s="26"/>
      <c r="AR772" s="26"/>
      <c r="AS772" s="26"/>
      <c r="AT772" s="26"/>
      <c r="AU772" s="26"/>
      <c r="AV772" s="26"/>
      <c r="AW772" s="26"/>
      <c r="AX772" s="26"/>
      <c r="AY772" s="26"/>
    </row>
    <row r="773" spans="2:51">
      <c r="B773" s="31"/>
      <c r="C773" s="50"/>
      <c r="D773" s="50"/>
      <c r="S773" s="26"/>
      <c r="T773" s="26"/>
      <c r="U773" s="26"/>
      <c r="V773" s="26"/>
      <c r="W773" s="26"/>
      <c r="X773" s="26"/>
      <c r="Y773" s="26"/>
      <c r="Z773" s="26"/>
      <c r="AA773" s="26"/>
      <c r="AB773" s="26"/>
      <c r="AC773" s="26"/>
      <c r="AD773" s="26"/>
      <c r="AE773" s="26"/>
      <c r="AF773" s="26"/>
      <c r="AG773" s="26"/>
      <c r="AH773" s="26"/>
      <c r="AI773" s="26"/>
      <c r="AJ773" s="26"/>
      <c r="AK773" s="26"/>
      <c r="AL773" s="26"/>
      <c r="AM773" s="26"/>
      <c r="AN773" s="26"/>
      <c r="AO773" s="26"/>
      <c r="AP773" s="26"/>
      <c r="AQ773" s="26"/>
      <c r="AR773" s="26"/>
      <c r="AS773" s="26"/>
      <c r="AT773" s="26"/>
      <c r="AU773" s="26"/>
      <c r="AV773" s="26"/>
      <c r="AW773" s="26"/>
      <c r="AX773" s="26"/>
      <c r="AY773" s="26"/>
    </row>
    <row r="774" spans="2:51">
      <c r="B774" s="31"/>
      <c r="C774" s="50"/>
      <c r="D774" s="50"/>
      <c r="S774" s="26"/>
      <c r="T774" s="26"/>
      <c r="U774" s="26"/>
      <c r="V774" s="26"/>
      <c r="W774" s="26"/>
      <c r="X774" s="26"/>
      <c r="Y774" s="26"/>
      <c r="Z774" s="26"/>
      <c r="AA774" s="26"/>
      <c r="AB774" s="26"/>
      <c r="AC774" s="26"/>
      <c r="AD774" s="26"/>
      <c r="AE774" s="26"/>
      <c r="AF774" s="26"/>
      <c r="AG774" s="26"/>
      <c r="AH774" s="26"/>
      <c r="AI774" s="26"/>
      <c r="AJ774" s="26"/>
      <c r="AK774" s="26"/>
      <c r="AL774" s="26"/>
      <c r="AM774" s="26"/>
      <c r="AN774" s="26"/>
      <c r="AO774" s="26"/>
      <c r="AP774" s="26"/>
      <c r="AQ774" s="26"/>
      <c r="AR774" s="26"/>
      <c r="AS774" s="26"/>
      <c r="AT774" s="26"/>
      <c r="AU774" s="26"/>
      <c r="AV774" s="26"/>
      <c r="AW774" s="26"/>
      <c r="AX774" s="26"/>
      <c r="AY774" s="26"/>
    </row>
    <row r="775" spans="2:51">
      <c r="B775" s="31"/>
      <c r="C775" s="50"/>
      <c r="D775" s="50"/>
      <c r="S775" s="26"/>
      <c r="T775" s="26"/>
      <c r="U775" s="26"/>
      <c r="V775" s="26"/>
      <c r="W775" s="26"/>
      <c r="X775" s="26"/>
      <c r="Y775" s="26"/>
      <c r="Z775" s="26"/>
      <c r="AA775" s="26"/>
      <c r="AB775" s="26"/>
      <c r="AC775" s="26"/>
      <c r="AD775" s="26"/>
      <c r="AE775" s="26"/>
      <c r="AF775" s="26"/>
      <c r="AG775" s="26"/>
      <c r="AH775" s="26"/>
      <c r="AI775" s="26"/>
      <c r="AJ775" s="26"/>
      <c r="AK775" s="26"/>
      <c r="AL775" s="26"/>
      <c r="AM775" s="26"/>
      <c r="AN775" s="26"/>
      <c r="AO775" s="26"/>
      <c r="AP775" s="26"/>
      <c r="AQ775" s="26"/>
      <c r="AR775" s="26"/>
      <c r="AS775" s="26"/>
      <c r="AT775" s="26"/>
      <c r="AU775" s="26"/>
      <c r="AV775" s="26"/>
      <c r="AW775" s="26"/>
      <c r="AX775" s="26"/>
      <c r="AY775" s="26"/>
    </row>
    <row r="776" spans="2:51">
      <c r="B776" s="31"/>
      <c r="C776" s="50"/>
      <c r="D776" s="50"/>
      <c r="S776" s="26"/>
      <c r="T776" s="26"/>
      <c r="U776" s="26"/>
      <c r="V776" s="26"/>
      <c r="W776" s="26"/>
      <c r="X776" s="26"/>
      <c r="Y776" s="26"/>
      <c r="Z776" s="26"/>
      <c r="AA776" s="26"/>
      <c r="AB776" s="26"/>
      <c r="AC776" s="26"/>
      <c r="AD776" s="26"/>
      <c r="AE776" s="26"/>
      <c r="AF776" s="26"/>
      <c r="AG776" s="26"/>
      <c r="AH776" s="26"/>
      <c r="AI776" s="26"/>
      <c r="AJ776" s="26"/>
      <c r="AK776" s="26"/>
      <c r="AL776" s="26"/>
      <c r="AM776" s="26"/>
      <c r="AN776" s="26"/>
      <c r="AO776" s="26"/>
      <c r="AP776" s="26"/>
      <c r="AQ776" s="26"/>
      <c r="AR776" s="26"/>
      <c r="AS776" s="26"/>
      <c r="AT776" s="26"/>
      <c r="AU776" s="26"/>
      <c r="AV776" s="26"/>
      <c r="AW776" s="26"/>
      <c r="AX776" s="26"/>
      <c r="AY776" s="26"/>
    </row>
    <row r="777" spans="2:51">
      <c r="B777" s="31"/>
      <c r="C777" s="50"/>
      <c r="D777" s="50"/>
      <c r="S777" s="26"/>
      <c r="T777" s="26"/>
      <c r="U777" s="26"/>
      <c r="V777" s="26"/>
      <c r="W777" s="26"/>
      <c r="X777" s="26"/>
      <c r="Y777" s="26"/>
      <c r="Z777" s="26"/>
      <c r="AA777" s="26"/>
      <c r="AB777" s="26"/>
      <c r="AC777" s="26"/>
      <c r="AD777" s="26"/>
      <c r="AE777" s="26"/>
      <c r="AF777" s="26"/>
      <c r="AG777" s="26"/>
      <c r="AH777" s="26"/>
      <c r="AI777" s="26"/>
      <c r="AJ777" s="26"/>
      <c r="AK777" s="26"/>
      <c r="AL777" s="26"/>
      <c r="AM777" s="26"/>
      <c r="AN777" s="26"/>
      <c r="AO777" s="26"/>
      <c r="AP777" s="26"/>
      <c r="AQ777" s="26"/>
      <c r="AR777" s="26"/>
      <c r="AS777" s="26"/>
      <c r="AT777" s="26"/>
      <c r="AU777" s="26"/>
      <c r="AV777" s="26"/>
      <c r="AW777" s="26"/>
      <c r="AX777" s="26"/>
      <c r="AY777" s="26"/>
    </row>
    <row r="778" spans="2:51">
      <c r="B778" s="31"/>
      <c r="C778" s="50"/>
      <c r="D778" s="50"/>
      <c r="S778" s="26"/>
      <c r="T778" s="26"/>
      <c r="U778" s="26"/>
      <c r="V778" s="26"/>
      <c r="W778" s="26"/>
      <c r="X778" s="26"/>
      <c r="Y778" s="26"/>
      <c r="Z778" s="26"/>
      <c r="AA778" s="26"/>
      <c r="AB778" s="26"/>
      <c r="AC778" s="26"/>
      <c r="AD778" s="26"/>
      <c r="AE778" s="26"/>
      <c r="AF778" s="26"/>
      <c r="AG778" s="26"/>
      <c r="AH778" s="26"/>
      <c r="AI778" s="26"/>
      <c r="AJ778" s="26"/>
      <c r="AK778" s="26"/>
      <c r="AL778" s="26"/>
      <c r="AM778" s="26"/>
      <c r="AN778" s="26"/>
      <c r="AO778" s="26"/>
      <c r="AP778" s="26"/>
      <c r="AQ778" s="26"/>
      <c r="AR778" s="26"/>
      <c r="AS778" s="26"/>
      <c r="AT778" s="26"/>
      <c r="AU778" s="26"/>
      <c r="AV778" s="26"/>
      <c r="AW778" s="26"/>
      <c r="AX778" s="26"/>
      <c r="AY778" s="26"/>
    </row>
    <row r="779" spans="2:51">
      <c r="B779" s="31"/>
      <c r="C779" s="50"/>
      <c r="D779" s="50"/>
      <c r="S779" s="26"/>
      <c r="T779" s="26"/>
      <c r="U779" s="26"/>
      <c r="V779" s="26"/>
      <c r="W779" s="26"/>
      <c r="X779" s="26"/>
      <c r="Y779" s="26"/>
      <c r="Z779" s="26"/>
      <c r="AA779" s="26"/>
      <c r="AB779" s="26"/>
      <c r="AC779" s="26"/>
      <c r="AD779" s="26"/>
      <c r="AE779" s="26"/>
      <c r="AF779" s="26"/>
      <c r="AG779" s="26"/>
      <c r="AH779" s="26"/>
      <c r="AI779" s="26"/>
      <c r="AJ779" s="26"/>
      <c r="AK779" s="26"/>
      <c r="AL779" s="26"/>
      <c r="AM779" s="26"/>
      <c r="AN779" s="26"/>
      <c r="AO779" s="26"/>
      <c r="AP779" s="26"/>
      <c r="AQ779" s="26"/>
      <c r="AR779" s="26"/>
      <c r="AS779" s="26"/>
      <c r="AT779" s="26"/>
      <c r="AU779" s="26"/>
      <c r="AV779" s="26"/>
      <c r="AW779" s="26"/>
      <c r="AX779" s="26"/>
      <c r="AY779" s="26"/>
    </row>
    <row r="780" spans="2:51">
      <c r="B780" s="31"/>
      <c r="C780" s="50"/>
      <c r="D780" s="50"/>
      <c r="S780" s="26"/>
      <c r="T780" s="26"/>
      <c r="U780" s="26"/>
      <c r="V780" s="26"/>
      <c r="W780" s="26"/>
      <c r="X780" s="26"/>
      <c r="Y780" s="26"/>
      <c r="Z780" s="26"/>
      <c r="AA780" s="26"/>
      <c r="AB780" s="26"/>
      <c r="AC780" s="26"/>
      <c r="AD780" s="26"/>
      <c r="AE780" s="26"/>
      <c r="AF780" s="26"/>
      <c r="AG780" s="26"/>
      <c r="AH780" s="26"/>
      <c r="AI780" s="26"/>
      <c r="AJ780" s="26"/>
      <c r="AK780" s="26"/>
      <c r="AL780" s="26"/>
      <c r="AM780" s="26"/>
      <c r="AN780" s="26"/>
      <c r="AO780" s="26"/>
      <c r="AP780" s="26"/>
      <c r="AQ780" s="26"/>
      <c r="AR780" s="26"/>
      <c r="AS780" s="26"/>
      <c r="AT780" s="26"/>
      <c r="AU780" s="26"/>
      <c r="AV780" s="26"/>
      <c r="AW780" s="26"/>
      <c r="AX780" s="26"/>
      <c r="AY780" s="26"/>
    </row>
    <row r="781" spans="2:51">
      <c r="B781" s="31"/>
      <c r="C781" s="50"/>
      <c r="D781" s="50"/>
      <c r="S781" s="26"/>
      <c r="T781" s="26"/>
      <c r="U781" s="26"/>
      <c r="V781" s="26"/>
      <c r="W781" s="26"/>
      <c r="X781" s="26"/>
      <c r="Y781" s="26"/>
      <c r="Z781" s="26"/>
      <c r="AA781" s="26"/>
      <c r="AB781" s="26"/>
      <c r="AC781" s="26"/>
      <c r="AD781" s="26"/>
      <c r="AE781" s="26"/>
      <c r="AF781" s="26"/>
      <c r="AG781" s="26"/>
      <c r="AH781" s="26"/>
      <c r="AI781" s="26"/>
      <c r="AJ781" s="26"/>
      <c r="AK781" s="26"/>
      <c r="AL781" s="26"/>
      <c r="AM781" s="26"/>
      <c r="AN781" s="26"/>
      <c r="AO781" s="26"/>
      <c r="AP781" s="26"/>
      <c r="AQ781" s="26"/>
      <c r="AR781" s="26"/>
      <c r="AS781" s="26"/>
      <c r="AT781" s="26"/>
      <c r="AU781" s="26"/>
      <c r="AV781" s="26"/>
      <c r="AW781" s="26"/>
      <c r="AX781" s="26"/>
      <c r="AY781" s="26"/>
    </row>
    <row r="782" spans="2:51">
      <c r="B782" s="31"/>
      <c r="C782" s="50"/>
      <c r="D782" s="50"/>
      <c r="S782" s="26"/>
      <c r="T782" s="26"/>
      <c r="U782" s="26"/>
      <c r="V782" s="26"/>
      <c r="W782" s="26"/>
      <c r="X782" s="26"/>
      <c r="Y782" s="26"/>
      <c r="Z782" s="26"/>
      <c r="AA782" s="26"/>
      <c r="AB782" s="26"/>
      <c r="AC782" s="26"/>
      <c r="AD782" s="26"/>
      <c r="AE782" s="26"/>
      <c r="AF782" s="26"/>
      <c r="AG782" s="26"/>
      <c r="AH782" s="26"/>
      <c r="AI782" s="26"/>
      <c r="AJ782" s="26"/>
      <c r="AK782" s="26"/>
      <c r="AL782" s="26"/>
      <c r="AM782" s="26"/>
      <c r="AN782" s="26"/>
      <c r="AO782" s="26"/>
      <c r="AP782" s="26"/>
      <c r="AQ782" s="26"/>
      <c r="AR782" s="26"/>
      <c r="AS782" s="26"/>
      <c r="AT782" s="26"/>
      <c r="AU782" s="26"/>
      <c r="AV782" s="26"/>
      <c r="AW782" s="26"/>
      <c r="AX782" s="26"/>
      <c r="AY782" s="26"/>
    </row>
    <row r="783" spans="2:51">
      <c r="B783" s="31"/>
      <c r="C783" s="50"/>
      <c r="D783" s="50"/>
      <c r="S783" s="26"/>
      <c r="T783" s="26"/>
      <c r="U783" s="26"/>
      <c r="V783" s="26"/>
      <c r="W783" s="26"/>
      <c r="X783" s="26"/>
      <c r="Y783" s="26"/>
      <c r="Z783" s="26"/>
      <c r="AA783" s="26"/>
      <c r="AB783" s="26"/>
      <c r="AC783" s="26"/>
      <c r="AD783" s="26"/>
      <c r="AE783" s="26"/>
      <c r="AF783" s="26"/>
      <c r="AG783" s="26"/>
      <c r="AH783" s="26"/>
      <c r="AI783" s="26"/>
      <c r="AJ783" s="26"/>
      <c r="AK783" s="26"/>
      <c r="AL783" s="26"/>
      <c r="AM783" s="26"/>
      <c r="AN783" s="26"/>
      <c r="AO783" s="26"/>
      <c r="AP783" s="26"/>
      <c r="AQ783" s="26"/>
      <c r="AR783" s="26"/>
      <c r="AS783" s="26"/>
      <c r="AT783" s="26"/>
      <c r="AU783" s="26"/>
      <c r="AV783" s="26"/>
      <c r="AW783" s="26"/>
      <c r="AX783" s="26"/>
      <c r="AY783" s="26"/>
    </row>
    <row r="784" spans="2:51">
      <c r="B784" s="59" t="s">
        <v>231</v>
      </c>
      <c r="C784" s="50"/>
      <c r="D784" s="50"/>
      <c r="S784" s="26"/>
      <c r="T784" s="26"/>
      <c r="U784" s="26"/>
      <c r="V784" s="26"/>
      <c r="W784" s="26"/>
      <c r="X784" s="26"/>
      <c r="Y784" s="26"/>
      <c r="Z784" s="26"/>
      <c r="AA784" s="26"/>
      <c r="AB784" s="26"/>
      <c r="AC784" s="26"/>
      <c r="AD784" s="26"/>
      <c r="AE784" s="26"/>
      <c r="AF784" s="26"/>
      <c r="AG784" s="26"/>
      <c r="AH784" s="26"/>
      <c r="AI784" s="26"/>
      <c r="AJ784" s="26"/>
      <c r="AK784" s="26"/>
      <c r="AL784" s="26"/>
      <c r="AM784" s="26"/>
      <c r="AN784" s="26"/>
      <c r="AO784" s="26"/>
      <c r="AP784" s="26"/>
      <c r="AQ784" s="26"/>
      <c r="AR784" s="26"/>
      <c r="AS784" s="26"/>
      <c r="AT784" s="26"/>
      <c r="AU784" s="26"/>
      <c r="AV784" s="26"/>
      <c r="AW784" s="26"/>
      <c r="AX784" s="26"/>
      <c r="AY784" s="26"/>
    </row>
    <row r="785" spans="2:51">
      <c r="B785" s="31"/>
      <c r="C785" s="50"/>
      <c r="D785" s="50"/>
      <c r="S785" s="26"/>
      <c r="T785" s="26"/>
      <c r="U785" s="26"/>
      <c r="V785" s="26"/>
      <c r="W785" s="26"/>
      <c r="X785" s="26"/>
      <c r="Y785" s="26"/>
      <c r="Z785" s="26"/>
      <c r="AA785" s="26"/>
      <c r="AB785" s="26"/>
      <c r="AC785" s="26"/>
      <c r="AD785" s="26"/>
      <c r="AE785" s="26"/>
      <c r="AF785" s="26"/>
      <c r="AG785" s="26"/>
      <c r="AH785" s="26"/>
      <c r="AI785" s="26"/>
      <c r="AJ785" s="26"/>
      <c r="AK785" s="26"/>
      <c r="AL785" s="26"/>
      <c r="AM785" s="26"/>
      <c r="AN785" s="26"/>
      <c r="AO785" s="26"/>
      <c r="AP785" s="26"/>
      <c r="AQ785" s="26"/>
      <c r="AR785" s="26"/>
      <c r="AS785" s="26"/>
      <c r="AT785" s="26"/>
      <c r="AU785" s="26"/>
      <c r="AV785" s="26"/>
      <c r="AW785" s="26"/>
      <c r="AX785" s="26"/>
      <c r="AY785" s="26"/>
    </row>
    <row r="786" spans="2:51">
      <c r="B786" s="31"/>
      <c r="C786" s="50"/>
      <c r="D786" s="50"/>
      <c r="S786" s="26"/>
      <c r="T786" s="26"/>
      <c r="U786" s="26"/>
      <c r="V786" s="26"/>
      <c r="W786" s="26"/>
      <c r="X786" s="26"/>
      <c r="Y786" s="26"/>
      <c r="Z786" s="26"/>
      <c r="AA786" s="26"/>
      <c r="AB786" s="26"/>
      <c r="AC786" s="26"/>
      <c r="AD786" s="26"/>
      <c r="AE786" s="26"/>
      <c r="AF786" s="26"/>
      <c r="AG786" s="26"/>
      <c r="AH786" s="26"/>
      <c r="AI786" s="26"/>
      <c r="AJ786" s="26"/>
      <c r="AK786" s="26"/>
      <c r="AL786" s="26"/>
      <c r="AM786" s="26"/>
      <c r="AN786" s="26"/>
      <c r="AO786" s="26"/>
      <c r="AP786" s="26"/>
      <c r="AQ786" s="26"/>
      <c r="AR786" s="26"/>
      <c r="AS786" s="26"/>
      <c r="AT786" s="26"/>
      <c r="AU786" s="26"/>
      <c r="AV786" s="26"/>
      <c r="AW786" s="26"/>
      <c r="AX786" s="26"/>
      <c r="AY786" s="26"/>
    </row>
    <row r="787" spans="2:51">
      <c r="B787" s="31"/>
      <c r="C787" s="50"/>
      <c r="D787" s="50"/>
      <c r="S787" s="26"/>
      <c r="T787" s="26"/>
      <c r="U787" s="26"/>
      <c r="V787" s="26"/>
      <c r="W787" s="26"/>
      <c r="X787" s="26"/>
      <c r="Y787" s="26"/>
      <c r="Z787" s="26"/>
      <c r="AA787" s="26"/>
      <c r="AB787" s="26"/>
      <c r="AC787" s="26"/>
      <c r="AD787" s="26"/>
      <c r="AE787" s="26"/>
      <c r="AF787" s="26"/>
      <c r="AG787" s="26"/>
      <c r="AH787" s="26"/>
      <c r="AI787" s="26"/>
      <c r="AJ787" s="26"/>
      <c r="AK787" s="26"/>
      <c r="AL787" s="26"/>
      <c r="AM787" s="26"/>
      <c r="AN787" s="26"/>
      <c r="AO787" s="26"/>
      <c r="AP787" s="26"/>
      <c r="AQ787" s="26"/>
      <c r="AR787" s="26"/>
      <c r="AS787" s="26"/>
      <c r="AT787" s="26"/>
      <c r="AU787" s="26"/>
      <c r="AV787" s="26"/>
      <c r="AW787" s="26"/>
      <c r="AX787" s="26"/>
      <c r="AY787" s="26"/>
    </row>
    <row r="788" spans="2:51">
      <c r="B788" s="31"/>
      <c r="C788" s="50"/>
      <c r="D788" s="50"/>
      <c r="S788" s="26"/>
      <c r="T788" s="26"/>
      <c r="U788" s="26"/>
      <c r="V788" s="26"/>
      <c r="W788" s="26"/>
      <c r="X788" s="26"/>
      <c r="Y788" s="26"/>
      <c r="Z788" s="26"/>
      <c r="AA788" s="26"/>
      <c r="AB788" s="26"/>
      <c r="AC788" s="26"/>
      <c r="AD788" s="26"/>
      <c r="AE788" s="26"/>
      <c r="AF788" s="26"/>
      <c r="AG788" s="26"/>
      <c r="AH788" s="26"/>
      <c r="AI788" s="26"/>
      <c r="AJ788" s="26"/>
      <c r="AK788" s="26"/>
      <c r="AL788" s="26"/>
      <c r="AM788" s="26"/>
      <c r="AN788" s="26"/>
      <c r="AO788" s="26"/>
      <c r="AP788" s="26"/>
      <c r="AQ788" s="26"/>
      <c r="AR788" s="26"/>
      <c r="AS788" s="26"/>
      <c r="AT788" s="26"/>
      <c r="AU788" s="26"/>
      <c r="AV788" s="26"/>
      <c r="AW788" s="26"/>
      <c r="AX788" s="26"/>
      <c r="AY788" s="26"/>
    </row>
    <row r="789" spans="2:51">
      <c r="B789" s="31"/>
      <c r="C789" s="50"/>
      <c r="D789" s="50"/>
      <c r="S789" s="26"/>
      <c r="T789" s="26"/>
      <c r="U789" s="26"/>
      <c r="V789" s="26"/>
      <c r="W789" s="26"/>
      <c r="X789" s="26"/>
      <c r="Y789" s="26"/>
      <c r="Z789" s="26"/>
      <c r="AA789" s="26"/>
      <c r="AB789" s="26"/>
      <c r="AC789" s="26"/>
      <c r="AD789" s="26"/>
      <c r="AE789" s="26"/>
      <c r="AF789" s="26"/>
      <c r="AG789" s="26"/>
      <c r="AH789" s="26"/>
      <c r="AI789" s="26"/>
      <c r="AJ789" s="26"/>
      <c r="AK789" s="26"/>
      <c r="AL789" s="26"/>
      <c r="AM789" s="26"/>
      <c r="AN789" s="26"/>
      <c r="AO789" s="26"/>
      <c r="AP789" s="26"/>
      <c r="AQ789" s="26"/>
      <c r="AR789" s="26"/>
      <c r="AS789" s="26"/>
      <c r="AT789" s="26"/>
      <c r="AU789" s="26"/>
      <c r="AV789" s="26"/>
      <c r="AW789" s="26"/>
      <c r="AX789" s="26"/>
      <c r="AY789" s="26"/>
    </row>
    <row r="790" spans="2:51">
      <c r="B790" s="31"/>
      <c r="C790" s="50"/>
      <c r="D790" s="50"/>
      <c r="S790" s="26"/>
      <c r="T790" s="26"/>
      <c r="U790" s="26"/>
      <c r="V790" s="26"/>
      <c r="W790" s="26"/>
      <c r="X790" s="26"/>
      <c r="Y790" s="26"/>
      <c r="Z790" s="26"/>
      <c r="AA790" s="26"/>
      <c r="AB790" s="26"/>
      <c r="AC790" s="26"/>
      <c r="AD790" s="26"/>
      <c r="AE790" s="26"/>
      <c r="AF790" s="26"/>
      <c r="AG790" s="26"/>
      <c r="AH790" s="26"/>
      <c r="AI790" s="26"/>
      <c r="AJ790" s="26"/>
      <c r="AK790" s="26"/>
      <c r="AL790" s="26"/>
      <c r="AM790" s="26"/>
      <c r="AN790" s="26"/>
      <c r="AO790" s="26"/>
      <c r="AP790" s="26"/>
      <c r="AQ790" s="26"/>
      <c r="AR790" s="26"/>
      <c r="AS790" s="26"/>
      <c r="AT790" s="26"/>
      <c r="AU790" s="26"/>
      <c r="AV790" s="26"/>
      <c r="AW790" s="26"/>
      <c r="AX790" s="26"/>
      <c r="AY790" s="26"/>
    </row>
    <row r="791" spans="2:51">
      <c r="B791" s="31"/>
      <c r="C791" s="50"/>
      <c r="D791" s="50"/>
      <c r="S791" s="26"/>
      <c r="T791" s="26"/>
      <c r="U791" s="26"/>
      <c r="V791" s="26"/>
      <c r="W791" s="26"/>
      <c r="X791" s="26"/>
      <c r="Y791" s="26"/>
      <c r="Z791" s="26"/>
      <c r="AA791" s="26"/>
      <c r="AB791" s="26"/>
      <c r="AC791" s="26"/>
      <c r="AD791" s="26"/>
      <c r="AE791" s="26"/>
      <c r="AF791" s="26"/>
      <c r="AG791" s="26"/>
      <c r="AH791" s="26"/>
      <c r="AI791" s="26"/>
      <c r="AJ791" s="26"/>
      <c r="AK791" s="26"/>
      <c r="AL791" s="26"/>
      <c r="AM791" s="26"/>
      <c r="AN791" s="26"/>
      <c r="AO791" s="26"/>
      <c r="AP791" s="26"/>
      <c r="AQ791" s="26"/>
      <c r="AR791" s="26"/>
      <c r="AS791" s="26"/>
      <c r="AT791" s="26"/>
      <c r="AU791" s="26"/>
      <c r="AV791" s="26"/>
      <c r="AW791" s="26"/>
      <c r="AX791" s="26"/>
      <c r="AY791" s="26"/>
    </row>
    <row r="792" spans="2:51">
      <c r="B792" s="31"/>
      <c r="C792" s="50"/>
      <c r="D792" s="50"/>
      <c r="S792" s="26"/>
      <c r="T792" s="26"/>
      <c r="U792" s="26"/>
      <c r="V792" s="26"/>
      <c r="W792" s="26"/>
      <c r="X792" s="26"/>
      <c r="Y792" s="26"/>
      <c r="Z792" s="26"/>
      <c r="AA792" s="26"/>
      <c r="AB792" s="26"/>
      <c r="AC792" s="26"/>
      <c r="AD792" s="26"/>
      <c r="AE792" s="26"/>
      <c r="AF792" s="26"/>
      <c r="AG792" s="26"/>
      <c r="AH792" s="26"/>
      <c r="AI792" s="26"/>
      <c r="AJ792" s="26"/>
      <c r="AK792" s="26"/>
      <c r="AL792" s="26"/>
      <c r="AM792" s="26"/>
      <c r="AN792" s="26"/>
      <c r="AO792" s="26"/>
      <c r="AP792" s="26"/>
      <c r="AQ792" s="26"/>
      <c r="AR792" s="26"/>
      <c r="AS792" s="26"/>
      <c r="AT792" s="26"/>
      <c r="AU792" s="26"/>
      <c r="AV792" s="26"/>
      <c r="AW792" s="26"/>
      <c r="AX792" s="26"/>
      <c r="AY792" s="26"/>
    </row>
    <row r="793" spans="2:51">
      <c r="B793" s="31"/>
      <c r="C793" s="50"/>
      <c r="D793" s="50"/>
      <c r="S793" s="26"/>
      <c r="T793" s="26"/>
      <c r="U793" s="26"/>
      <c r="V793" s="26"/>
      <c r="W793" s="26"/>
      <c r="X793" s="26"/>
      <c r="Y793" s="26"/>
      <c r="Z793" s="26"/>
      <c r="AA793" s="26"/>
      <c r="AB793" s="26"/>
      <c r="AC793" s="26"/>
      <c r="AD793" s="26"/>
      <c r="AE793" s="26"/>
      <c r="AF793" s="26"/>
      <c r="AG793" s="26"/>
      <c r="AH793" s="26"/>
      <c r="AI793" s="26"/>
      <c r="AJ793" s="26"/>
      <c r="AK793" s="26"/>
      <c r="AL793" s="26"/>
      <c r="AM793" s="26"/>
      <c r="AN793" s="26"/>
      <c r="AO793" s="26"/>
      <c r="AP793" s="26"/>
      <c r="AQ793" s="26"/>
      <c r="AR793" s="26"/>
      <c r="AS793" s="26"/>
      <c r="AT793" s="26"/>
      <c r="AU793" s="26"/>
      <c r="AV793" s="26"/>
      <c r="AW793" s="26"/>
      <c r="AX793" s="26"/>
      <c r="AY793" s="26"/>
    </row>
    <row r="794" spans="2:51">
      <c r="B794" s="31"/>
      <c r="C794" s="50"/>
      <c r="D794" s="50"/>
      <c r="S794" s="26"/>
      <c r="T794" s="26"/>
      <c r="U794" s="26"/>
      <c r="V794" s="26"/>
      <c r="W794" s="26"/>
      <c r="X794" s="26"/>
      <c r="Y794" s="26"/>
      <c r="Z794" s="26"/>
      <c r="AA794" s="26"/>
      <c r="AB794" s="26"/>
      <c r="AC794" s="26"/>
      <c r="AD794" s="26"/>
      <c r="AE794" s="26"/>
      <c r="AF794" s="26"/>
      <c r="AG794" s="26"/>
      <c r="AH794" s="26"/>
      <c r="AI794" s="26"/>
      <c r="AJ794" s="26"/>
      <c r="AK794" s="26"/>
      <c r="AL794" s="26"/>
      <c r="AM794" s="26"/>
      <c r="AN794" s="26"/>
      <c r="AO794" s="26"/>
      <c r="AP794" s="26"/>
      <c r="AQ794" s="26"/>
      <c r="AR794" s="26"/>
      <c r="AS794" s="26"/>
      <c r="AT794" s="26"/>
      <c r="AU794" s="26"/>
      <c r="AV794" s="26"/>
      <c r="AW794" s="26"/>
      <c r="AX794" s="26"/>
      <c r="AY794" s="26"/>
    </row>
    <row r="795" spans="2:51">
      <c r="B795" s="31"/>
      <c r="C795" s="50"/>
      <c r="D795" s="50"/>
      <c r="S795" s="26"/>
      <c r="T795" s="26"/>
      <c r="U795" s="26"/>
      <c r="V795" s="26"/>
      <c r="W795" s="26"/>
      <c r="X795" s="26"/>
      <c r="Y795" s="26"/>
      <c r="Z795" s="26"/>
      <c r="AA795" s="26"/>
      <c r="AB795" s="26"/>
      <c r="AC795" s="26"/>
      <c r="AD795" s="26"/>
      <c r="AE795" s="26"/>
      <c r="AF795" s="26"/>
      <c r="AG795" s="26"/>
      <c r="AH795" s="26"/>
      <c r="AI795" s="26"/>
      <c r="AJ795" s="26"/>
      <c r="AK795" s="26"/>
      <c r="AL795" s="26"/>
      <c r="AM795" s="26"/>
      <c r="AN795" s="26"/>
      <c r="AO795" s="26"/>
      <c r="AP795" s="26"/>
      <c r="AQ795" s="26"/>
      <c r="AR795" s="26"/>
      <c r="AS795" s="26"/>
      <c r="AT795" s="26"/>
      <c r="AU795" s="26"/>
      <c r="AV795" s="26"/>
      <c r="AW795" s="26"/>
      <c r="AX795" s="26"/>
      <c r="AY795" s="26"/>
    </row>
    <row r="796" spans="2:51">
      <c r="B796" s="31"/>
      <c r="C796" s="50"/>
      <c r="D796" s="50"/>
      <c r="S796" s="26"/>
      <c r="T796" s="26"/>
      <c r="U796" s="26"/>
      <c r="V796" s="26"/>
      <c r="W796" s="26"/>
      <c r="X796" s="26"/>
      <c r="Y796" s="26"/>
      <c r="Z796" s="26"/>
      <c r="AA796" s="26"/>
      <c r="AB796" s="26"/>
      <c r="AC796" s="26"/>
      <c r="AD796" s="26"/>
      <c r="AE796" s="26"/>
      <c r="AF796" s="26"/>
      <c r="AG796" s="26"/>
      <c r="AH796" s="26"/>
      <c r="AI796" s="26"/>
      <c r="AJ796" s="26"/>
      <c r="AK796" s="26"/>
      <c r="AL796" s="26"/>
      <c r="AM796" s="26"/>
      <c r="AN796" s="26"/>
      <c r="AO796" s="26"/>
      <c r="AP796" s="26"/>
      <c r="AQ796" s="26"/>
      <c r="AR796" s="26"/>
      <c r="AS796" s="26"/>
      <c r="AT796" s="26"/>
      <c r="AU796" s="26"/>
      <c r="AV796" s="26"/>
      <c r="AW796" s="26"/>
      <c r="AX796" s="26"/>
      <c r="AY796" s="26"/>
    </row>
    <row r="797" spans="2:51">
      <c r="B797" s="31"/>
      <c r="C797" s="50"/>
      <c r="D797" s="50"/>
      <c r="S797" s="26"/>
      <c r="T797" s="26"/>
      <c r="U797" s="26"/>
      <c r="V797" s="26"/>
      <c r="W797" s="26"/>
      <c r="X797" s="26"/>
      <c r="Y797" s="26"/>
      <c r="Z797" s="26"/>
      <c r="AA797" s="26"/>
      <c r="AB797" s="26"/>
      <c r="AC797" s="26"/>
      <c r="AD797" s="26"/>
      <c r="AE797" s="26"/>
      <c r="AF797" s="26"/>
      <c r="AG797" s="26"/>
      <c r="AH797" s="26"/>
      <c r="AI797" s="26"/>
      <c r="AJ797" s="26"/>
      <c r="AK797" s="26"/>
      <c r="AL797" s="26"/>
      <c r="AM797" s="26"/>
      <c r="AN797" s="26"/>
      <c r="AO797" s="26"/>
      <c r="AP797" s="26"/>
      <c r="AQ797" s="26"/>
      <c r="AR797" s="26"/>
      <c r="AS797" s="26"/>
      <c r="AT797" s="26"/>
      <c r="AU797" s="26"/>
      <c r="AV797" s="26"/>
      <c r="AW797" s="26"/>
      <c r="AX797" s="26"/>
      <c r="AY797" s="26"/>
    </row>
    <row r="798" spans="2:51">
      <c r="B798" s="31"/>
      <c r="C798" s="50"/>
      <c r="D798" s="50"/>
      <c r="S798" s="26"/>
      <c r="T798" s="26"/>
      <c r="U798" s="26"/>
      <c r="V798" s="26"/>
      <c r="W798" s="26"/>
      <c r="X798" s="26"/>
      <c r="Y798" s="26"/>
      <c r="Z798" s="26"/>
      <c r="AA798" s="26"/>
      <c r="AB798" s="26"/>
      <c r="AC798" s="26"/>
      <c r="AD798" s="26"/>
      <c r="AE798" s="26"/>
      <c r="AF798" s="26"/>
      <c r="AG798" s="26"/>
      <c r="AH798" s="26"/>
      <c r="AI798" s="26"/>
      <c r="AJ798" s="26"/>
      <c r="AK798" s="26"/>
      <c r="AL798" s="26"/>
      <c r="AM798" s="26"/>
      <c r="AN798" s="26"/>
      <c r="AO798" s="26"/>
      <c r="AP798" s="26"/>
      <c r="AQ798" s="26"/>
      <c r="AR798" s="26"/>
      <c r="AS798" s="26"/>
      <c r="AT798" s="26"/>
      <c r="AU798" s="26"/>
      <c r="AV798" s="26"/>
      <c r="AW798" s="26"/>
      <c r="AX798" s="26"/>
      <c r="AY798" s="26"/>
    </row>
    <row r="799" spans="2:51">
      <c r="B799" s="31"/>
      <c r="C799" s="50"/>
      <c r="D799" s="50"/>
      <c r="S799" s="26"/>
      <c r="T799" s="26"/>
      <c r="U799" s="26"/>
      <c r="V799" s="26"/>
      <c r="W799" s="26"/>
      <c r="X799" s="26"/>
      <c r="Y799" s="26"/>
      <c r="Z799" s="26"/>
      <c r="AA799" s="26"/>
      <c r="AB799" s="26"/>
      <c r="AC799" s="26"/>
      <c r="AD799" s="26"/>
      <c r="AE799" s="26"/>
      <c r="AF799" s="26"/>
      <c r="AG799" s="26"/>
      <c r="AH799" s="26"/>
      <c r="AI799" s="26"/>
      <c r="AJ799" s="26"/>
      <c r="AK799" s="26"/>
      <c r="AL799" s="26"/>
      <c r="AM799" s="26"/>
      <c r="AN799" s="26"/>
      <c r="AO799" s="26"/>
      <c r="AP799" s="26"/>
      <c r="AQ799" s="26"/>
      <c r="AR799" s="26"/>
      <c r="AS799" s="26"/>
      <c r="AT799" s="26"/>
      <c r="AU799" s="26"/>
      <c r="AV799" s="26"/>
      <c r="AW799" s="26"/>
      <c r="AX799" s="26"/>
      <c r="AY799" s="26"/>
    </row>
    <row r="800" spans="2:51">
      <c r="B800" s="31"/>
      <c r="C800" s="50"/>
      <c r="D800" s="50"/>
      <c r="S800" s="26"/>
      <c r="T800" s="26"/>
      <c r="U800" s="26"/>
      <c r="V800" s="26"/>
      <c r="W800" s="26"/>
      <c r="X800" s="26"/>
      <c r="Y800" s="26"/>
      <c r="Z800" s="26"/>
      <c r="AA800" s="26"/>
      <c r="AB800" s="26"/>
      <c r="AC800" s="26"/>
      <c r="AD800" s="26"/>
      <c r="AE800" s="26"/>
      <c r="AF800" s="26"/>
      <c r="AG800" s="26"/>
      <c r="AH800" s="26"/>
      <c r="AI800" s="26"/>
      <c r="AJ800" s="26"/>
      <c r="AK800" s="26"/>
      <c r="AL800" s="26"/>
      <c r="AM800" s="26"/>
      <c r="AN800" s="26"/>
      <c r="AO800" s="26"/>
      <c r="AP800" s="26"/>
      <c r="AQ800" s="26"/>
      <c r="AR800" s="26"/>
      <c r="AS800" s="26"/>
      <c r="AT800" s="26"/>
      <c r="AU800" s="26"/>
      <c r="AV800" s="26"/>
      <c r="AW800" s="26"/>
      <c r="AX800" s="26"/>
      <c r="AY800" s="26"/>
    </row>
    <row r="801" spans="2:51">
      <c r="B801" s="31"/>
      <c r="C801" s="50"/>
      <c r="D801" s="50"/>
      <c r="S801" s="26"/>
      <c r="T801" s="26"/>
      <c r="U801" s="26"/>
      <c r="V801" s="26"/>
      <c r="W801" s="26"/>
      <c r="X801" s="26"/>
      <c r="Y801" s="26"/>
      <c r="Z801" s="26"/>
      <c r="AA801" s="26"/>
      <c r="AB801" s="26"/>
      <c r="AC801" s="26"/>
      <c r="AD801" s="26"/>
      <c r="AE801" s="26"/>
      <c r="AF801" s="26"/>
      <c r="AG801" s="26"/>
      <c r="AH801" s="26"/>
      <c r="AI801" s="26"/>
      <c r="AJ801" s="26"/>
      <c r="AK801" s="26"/>
      <c r="AL801" s="26"/>
      <c r="AM801" s="26"/>
      <c r="AN801" s="26"/>
      <c r="AO801" s="26"/>
      <c r="AP801" s="26"/>
      <c r="AQ801" s="26"/>
      <c r="AR801" s="26"/>
      <c r="AS801" s="26"/>
      <c r="AT801" s="26"/>
      <c r="AU801" s="26"/>
      <c r="AV801" s="26"/>
      <c r="AW801" s="26"/>
      <c r="AX801" s="26"/>
      <c r="AY801" s="26"/>
    </row>
    <row r="802" spans="2:51">
      <c r="B802" s="31"/>
      <c r="C802" s="50"/>
      <c r="D802" s="50"/>
      <c r="S802" s="26"/>
      <c r="T802" s="26"/>
      <c r="U802" s="26"/>
      <c r="V802" s="26"/>
      <c r="W802" s="26"/>
      <c r="X802" s="26"/>
      <c r="Y802" s="26"/>
      <c r="Z802" s="26"/>
      <c r="AA802" s="26"/>
      <c r="AB802" s="26"/>
      <c r="AC802" s="26"/>
      <c r="AD802" s="26"/>
      <c r="AE802" s="26"/>
      <c r="AF802" s="26"/>
      <c r="AG802" s="26"/>
      <c r="AH802" s="26"/>
      <c r="AI802" s="26"/>
      <c r="AJ802" s="26"/>
      <c r="AK802" s="26"/>
      <c r="AL802" s="26"/>
      <c r="AM802" s="26"/>
      <c r="AN802" s="26"/>
      <c r="AO802" s="26"/>
      <c r="AP802" s="26"/>
      <c r="AQ802" s="26"/>
      <c r="AR802" s="26"/>
      <c r="AS802" s="26"/>
      <c r="AT802" s="26"/>
      <c r="AU802" s="26"/>
      <c r="AV802" s="26"/>
      <c r="AW802" s="26"/>
      <c r="AX802" s="26"/>
      <c r="AY802" s="26"/>
    </row>
    <row r="803" spans="2:51">
      <c r="B803" s="31"/>
      <c r="C803" s="50"/>
      <c r="D803" s="50"/>
      <c r="S803" s="26"/>
      <c r="T803" s="26"/>
      <c r="U803" s="26"/>
      <c r="V803" s="26"/>
      <c r="W803" s="26"/>
      <c r="X803" s="26"/>
      <c r="Y803" s="26"/>
      <c r="Z803" s="26"/>
      <c r="AA803" s="26"/>
      <c r="AB803" s="26"/>
      <c r="AC803" s="26"/>
      <c r="AD803" s="26"/>
      <c r="AE803" s="26"/>
      <c r="AF803" s="26"/>
      <c r="AG803" s="26"/>
      <c r="AH803" s="26"/>
      <c r="AI803" s="26"/>
      <c r="AJ803" s="26"/>
      <c r="AK803" s="26"/>
      <c r="AL803" s="26"/>
      <c r="AM803" s="26"/>
      <c r="AN803" s="26"/>
      <c r="AO803" s="26"/>
      <c r="AP803" s="26"/>
      <c r="AQ803" s="26"/>
      <c r="AR803" s="26"/>
      <c r="AS803" s="26"/>
      <c r="AT803" s="26"/>
      <c r="AU803" s="26"/>
      <c r="AV803" s="26"/>
      <c r="AW803" s="26"/>
      <c r="AX803" s="26"/>
      <c r="AY803" s="26"/>
    </row>
    <row r="804" spans="2:51">
      <c r="B804" s="31"/>
      <c r="C804" s="50"/>
      <c r="D804" s="50"/>
      <c r="S804" s="26"/>
      <c r="T804" s="26"/>
      <c r="U804" s="26"/>
      <c r="V804" s="26"/>
      <c r="W804" s="26"/>
      <c r="X804" s="26"/>
      <c r="Y804" s="26"/>
      <c r="Z804" s="26"/>
      <c r="AA804" s="26"/>
      <c r="AB804" s="26"/>
      <c r="AC804" s="26"/>
      <c r="AD804" s="26"/>
      <c r="AE804" s="26"/>
      <c r="AF804" s="26"/>
      <c r="AG804" s="26"/>
      <c r="AH804" s="26"/>
      <c r="AI804" s="26"/>
      <c r="AJ804" s="26"/>
      <c r="AK804" s="26"/>
      <c r="AL804" s="26"/>
      <c r="AM804" s="26"/>
      <c r="AN804" s="26"/>
      <c r="AO804" s="26"/>
      <c r="AP804" s="26"/>
      <c r="AQ804" s="26"/>
      <c r="AR804" s="26"/>
      <c r="AS804" s="26"/>
      <c r="AT804" s="26"/>
      <c r="AU804" s="26"/>
      <c r="AV804" s="26"/>
      <c r="AW804" s="26"/>
      <c r="AX804" s="26"/>
      <c r="AY804" s="26"/>
    </row>
    <row r="805" spans="2:51">
      <c r="B805" s="31"/>
      <c r="C805" s="50"/>
      <c r="D805" s="50"/>
      <c r="S805" s="26"/>
      <c r="T805" s="26"/>
      <c r="U805" s="26"/>
      <c r="V805" s="26"/>
      <c r="W805" s="26"/>
      <c r="X805" s="26"/>
      <c r="Y805" s="26"/>
      <c r="Z805" s="26"/>
      <c r="AA805" s="26"/>
      <c r="AB805" s="26"/>
      <c r="AC805" s="26"/>
      <c r="AD805" s="26"/>
      <c r="AE805" s="26"/>
      <c r="AF805" s="26"/>
      <c r="AG805" s="26"/>
      <c r="AH805" s="26"/>
      <c r="AI805" s="26"/>
      <c r="AJ805" s="26"/>
      <c r="AK805" s="26"/>
      <c r="AL805" s="26"/>
      <c r="AM805" s="26"/>
      <c r="AN805" s="26"/>
      <c r="AO805" s="26"/>
      <c r="AP805" s="26"/>
      <c r="AQ805" s="26"/>
      <c r="AR805" s="26"/>
      <c r="AS805" s="26"/>
      <c r="AT805" s="26"/>
      <c r="AU805" s="26"/>
      <c r="AV805" s="26"/>
      <c r="AW805" s="26"/>
      <c r="AX805" s="26"/>
      <c r="AY805" s="26"/>
    </row>
    <row r="806" spans="2:51">
      <c r="B806" s="31"/>
      <c r="C806" s="50"/>
      <c r="D806" s="50"/>
      <c r="S806" s="26"/>
      <c r="T806" s="26"/>
      <c r="U806" s="26"/>
      <c r="V806" s="26"/>
      <c r="W806" s="26"/>
      <c r="X806" s="26"/>
      <c r="Y806" s="26"/>
      <c r="Z806" s="26"/>
      <c r="AA806" s="26"/>
      <c r="AB806" s="26"/>
      <c r="AC806" s="26"/>
      <c r="AD806" s="26"/>
      <c r="AE806" s="26"/>
      <c r="AF806" s="26"/>
      <c r="AG806" s="26"/>
      <c r="AH806" s="26"/>
      <c r="AI806" s="26"/>
      <c r="AJ806" s="26"/>
      <c r="AK806" s="26"/>
      <c r="AL806" s="26"/>
      <c r="AM806" s="26"/>
      <c r="AN806" s="26"/>
      <c r="AO806" s="26"/>
      <c r="AP806" s="26"/>
      <c r="AQ806" s="26"/>
      <c r="AR806" s="26"/>
      <c r="AS806" s="26"/>
      <c r="AT806" s="26"/>
      <c r="AU806" s="26"/>
      <c r="AV806" s="26"/>
      <c r="AW806" s="26"/>
      <c r="AX806" s="26"/>
      <c r="AY806" s="26"/>
    </row>
    <row r="807" spans="2:51">
      <c r="B807" s="31"/>
      <c r="C807" s="50"/>
      <c r="D807" s="50"/>
      <c r="S807" s="26"/>
      <c r="T807" s="26"/>
      <c r="U807" s="26"/>
      <c r="V807" s="26"/>
      <c r="W807" s="26"/>
      <c r="X807" s="26"/>
      <c r="Y807" s="26"/>
      <c r="Z807" s="26"/>
      <c r="AA807" s="26"/>
      <c r="AB807" s="26"/>
      <c r="AC807" s="26"/>
      <c r="AD807" s="26"/>
      <c r="AE807" s="26"/>
      <c r="AF807" s="26"/>
      <c r="AG807" s="26"/>
      <c r="AH807" s="26"/>
      <c r="AI807" s="26"/>
      <c r="AJ807" s="26"/>
      <c r="AK807" s="26"/>
      <c r="AL807" s="26"/>
      <c r="AM807" s="26"/>
      <c r="AN807" s="26"/>
      <c r="AO807" s="26"/>
      <c r="AP807" s="26"/>
      <c r="AQ807" s="26"/>
      <c r="AR807" s="26"/>
      <c r="AS807" s="26"/>
      <c r="AT807" s="26"/>
      <c r="AU807" s="26"/>
      <c r="AV807" s="26"/>
      <c r="AW807" s="26"/>
      <c r="AX807" s="26"/>
      <c r="AY807" s="26"/>
    </row>
    <row r="808" spans="2:51">
      <c r="B808" s="31"/>
      <c r="C808" s="50"/>
      <c r="D808" s="50"/>
      <c r="S808" s="26"/>
      <c r="T808" s="26"/>
      <c r="U808" s="26"/>
      <c r="V808" s="26"/>
      <c r="W808" s="26"/>
      <c r="X808" s="26"/>
      <c r="Y808" s="26"/>
      <c r="Z808" s="26"/>
      <c r="AA808" s="26"/>
      <c r="AB808" s="26"/>
      <c r="AC808" s="26"/>
      <c r="AD808" s="26"/>
      <c r="AE808" s="26"/>
      <c r="AF808" s="26"/>
      <c r="AG808" s="26"/>
      <c r="AH808" s="26"/>
      <c r="AI808" s="26"/>
      <c r="AJ808" s="26"/>
      <c r="AK808" s="26"/>
      <c r="AL808" s="26"/>
      <c r="AM808" s="26"/>
      <c r="AN808" s="26"/>
      <c r="AO808" s="26"/>
      <c r="AP808" s="26"/>
      <c r="AQ808" s="26"/>
      <c r="AR808" s="26"/>
      <c r="AS808" s="26"/>
      <c r="AT808" s="26"/>
      <c r="AU808" s="26"/>
      <c r="AV808" s="26"/>
      <c r="AW808" s="26"/>
      <c r="AX808" s="26"/>
      <c r="AY808" s="26"/>
    </row>
    <row r="809" spans="2:51">
      <c r="B809" s="31"/>
      <c r="C809" s="50"/>
      <c r="D809" s="50"/>
      <c r="S809" s="26"/>
      <c r="T809" s="26"/>
      <c r="U809" s="26"/>
      <c r="V809" s="26"/>
      <c r="W809" s="26"/>
      <c r="X809" s="26"/>
      <c r="Y809" s="26"/>
      <c r="Z809" s="26"/>
      <c r="AA809" s="26"/>
      <c r="AB809" s="26"/>
      <c r="AC809" s="26"/>
      <c r="AD809" s="26"/>
      <c r="AE809" s="26"/>
      <c r="AF809" s="26"/>
      <c r="AG809" s="26"/>
      <c r="AH809" s="26"/>
      <c r="AI809" s="26"/>
      <c r="AJ809" s="26"/>
      <c r="AK809" s="26"/>
      <c r="AL809" s="26"/>
      <c r="AM809" s="26"/>
      <c r="AN809" s="26"/>
      <c r="AO809" s="26"/>
      <c r="AP809" s="26"/>
      <c r="AQ809" s="26"/>
      <c r="AR809" s="26"/>
      <c r="AS809" s="26"/>
      <c r="AT809" s="26"/>
      <c r="AU809" s="26"/>
      <c r="AV809" s="26"/>
      <c r="AW809" s="26"/>
      <c r="AX809" s="26"/>
      <c r="AY809" s="26"/>
    </row>
    <row r="810" spans="2:51">
      <c r="B810" s="31"/>
      <c r="C810" s="50"/>
      <c r="D810" s="50"/>
      <c r="S810" s="26"/>
      <c r="T810" s="26"/>
      <c r="U810" s="26"/>
      <c r="V810" s="26"/>
      <c r="W810" s="26"/>
      <c r="X810" s="26"/>
      <c r="Y810" s="26"/>
      <c r="Z810" s="26"/>
      <c r="AA810" s="26"/>
      <c r="AB810" s="26"/>
      <c r="AC810" s="26"/>
      <c r="AD810" s="26"/>
      <c r="AE810" s="26"/>
      <c r="AF810" s="26"/>
      <c r="AG810" s="26"/>
      <c r="AH810" s="26"/>
      <c r="AI810" s="26"/>
      <c r="AJ810" s="26"/>
      <c r="AK810" s="26"/>
      <c r="AL810" s="26"/>
      <c r="AM810" s="26"/>
      <c r="AN810" s="26"/>
      <c r="AO810" s="26"/>
      <c r="AP810" s="26"/>
      <c r="AQ810" s="26"/>
      <c r="AR810" s="26"/>
      <c r="AS810" s="26"/>
      <c r="AT810" s="26"/>
      <c r="AU810" s="26"/>
      <c r="AV810" s="26"/>
      <c r="AW810" s="26"/>
      <c r="AX810" s="26"/>
      <c r="AY810" s="26"/>
    </row>
    <row r="811" spans="2:51">
      <c r="B811" s="31"/>
      <c r="C811" s="50"/>
      <c r="D811" s="50"/>
      <c r="S811" s="26"/>
      <c r="T811" s="26"/>
      <c r="U811" s="26"/>
      <c r="V811" s="26"/>
      <c r="W811" s="26"/>
      <c r="X811" s="26"/>
      <c r="Y811" s="26"/>
      <c r="Z811" s="26"/>
      <c r="AA811" s="26"/>
      <c r="AB811" s="26"/>
      <c r="AC811" s="26"/>
      <c r="AD811" s="26"/>
      <c r="AE811" s="26"/>
      <c r="AF811" s="26"/>
      <c r="AG811" s="26"/>
      <c r="AH811" s="26"/>
      <c r="AI811" s="26"/>
      <c r="AJ811" s="26"/>
      <c r="AK811" s="26"/>
      <c r="AL811" s="26"/>
      <c r="AM811" s="26"/>
      <c r="AN811" s="26"/>
      <c r="AO811" s="26"/>
      <c r="AP811" s="26"/>
      <c r="AQ811" s="26"/>
      <c r="AR811" s="26"/>
      <c r="AS811" s="26"/>
      <c r="AT811" s="26"/>
      <c r="AU811" s="26"/>
      <c r="AV811" s="26"/>
      <c r="AW811" s="26"/>
      <c r="AX811" s="26"/>
      <c r="AY811" s="26"/>
    </row>
    <row r="812" spans="2:51">
      <c r="B812" s="31"/>
      <c r="C812" s="50"/>
      <c r="D812" s="50"/>
      <c r="S812" s="26"/>
      <c r="T812" s="26"/>
      <c r="U812" s="26"/>
      <c r="V812" s="26"/>
      <c r="W812" s="26"/>
      <c r="X812" s="26"/>
      <c r="Y812" s="26"/>
      <c r="Z812" s="26"/>
      <c r="AA812" s="26"/>
      <c r="AB812" s="26"/>
      <c r="AC812" s="26"/>
      <c r="AD812" s="26"/>
      <c r="AE812" s="26"/>
      <c r="AF812" s="26"/>
      <c r="AG812" s="26"/>
      <c r="AH812" s="26"/>
      <c r="AI812" s="26"/>
      <c r="AJ812" s="26"/>
      <c r="AK812" s="26"/>
      <c r="AL812" s="26"/>
      <c r="AM812" s="26"/>
      <c r="AN812" s="26"/>
      <c r="AO812" s="26"/>
      <c r="AP812" s="26"/>
      <c r="AQ812" s="26"/>
      <c r="AR812" s="26"/>
      <c r="AS812" s="26"/>
      <c r="AT812" s="26"/>
      <c r="AU812" s="26"/>
      <c r="AV812" s="26"/>
      <c r="AW812" s="26"/>
      <c r="AX812" s="26"/>
      <c r="AY812" s="26"/>
    </row>
    <row r="813" spans="2:51">
      <c r="B813" s="31"/>
      <c r="C813" s="50"/>
      <c r="D813" s="50"/>
      <c r="S813" s="26"/>
      <c r="T813" s="26"/>
      <c r="U813" s="26"/>
      <c r="V813" s="26"/>
      <c r="W813" s="26"/>
      <c r="X813" s="26"/>
      <c r="Y813" s="26"/>
      <c r="Z813" s="26"/>
      <c r="AA813" s="26"/>
      <c r="AB813" s="26"/>
      <c r="AC813" s="26"/>
      <c r="AD813" s="26"/>
      <c r="AE813" s="26"/>
      <c r="AF813" s="26"/>
      <c r="AG813" s="26"/>
      <c r="AH813" s="26"/>
      <c r="AI813" s="26"/>
      <c r="AJ813" s="26"/>
      <c r="AK813" s="26"/>
      <c r="AL813" s="26"/>
      <c r="AM813" s="26"/>
      <c r="AN813" s="26"/>
      <c r="AO813" s="26"/>
      <c r="AP813" s="26"/>
      <c r="AQ813" s="26"/>
      <c r="AR813" s="26"/>
      <c r="AS813" s="26"/>
      <c r="AT813" s="26"/>
      <c r="AU813" s="26"/>
      <c r="AV813" s="26"/>
      <c r="AW813" s="26"/>
      <c r="AX813" s="26"/>
      <c r="AY813" s="26"/>
    </row>
    <row r="814" spans="2:51">
      <c r="B814" s="31"/>
      <c r="C814" s="50"/>
      <c r="D814" s="50"/>
      <c r="S814" s="26"/>
      <c r="T814" s="26"/>
      <c r="U814" s="26"/>
      <c r="V814" s="26"/>
      <c r="W814" s="26"/>
      <c r="X814" s="26"/>
      <c r="Y814" s="26"/>
      <c r="Z814" s="26"/>
      <c r="AA814" s="26"/>
      <c r="AB814" s="26"/>
      <c r="AC814" s="26"/>
      <c r="AD814" s="26"/>
      <c r="AE814" s="26"/>
      <c r="AF814" s="26"/>
      <c r="AG814" s="26"/>
      <c r="AH814" s="26"/>
      <c r="AI814" s="26"/>
      <c r="AJ814" s="26"/>
      <c r="AK814" s="26"/>
      <c r="AL814" s="26"/>
      <c r="AM814" s="26"/>
      <c r="AN814" s="26"/>
      <c r="AO814" s="26"/>
      <c r="AP814" s="26"/>
      <c r="AQ814" s="26"/>
      <c r="AR814" s="26"/>
      <c r="AS814" s="26"/>
      <c r="AT814" s="26"/>
      <c r="AU814" s="26"/>
      <c r="AV814" s="26"/>
      <c r="AW814" s="26"/>
      <c r="AX814" s="26"/>
      <c r="AY814" s="26"/>
    </row>
    <row r="815" spans="2:51">
      <c r="B815" s="31"/>
      <c r="C815" s="50"/>
      <c r="D815" s="50"/>
      <c r="S815" s="26"/>
      <c r="T815" s="26"/>
      <c r="U815" s="26"/>
      <c r="V815" s="26"/>
      <c r="W815" s="26"/>
      <c r="X815" s="26"/>
      <c r="Y815" s="26"/>
      <c r="Z815" s="26"/>
      <c r="AA815" s="26"/>
      <c r="AB815" s="26"/>
      <c r="AC815" s="26"/>
      <c r="AD815" s="26"/>
      <c r="AE815" s="26"/>
      <c r="AF815" s="26"/>
      <c r="AG815" s="26"/>
      <c r="AH815" s="26"/>
      <c r="AI815" s="26"/>
      <c r="AJ815" s="26"/>
      <c r="AK815" s="26"/>
      <c r="AL815" s="26"/>
      <c r="AM815" s="26"/>
      <c r="AN815" s="26"/>
      <c r="AO815" s="26"/>
      <c r="AP815" s="26"/>
      <c r="AQ815" s="26"/>
      <c r="AR815" s="26"/>
      <c r="AS815" s="26"/>
      <c r="AT815" s="26"/>
      <c r="AU815" s="26"/>
      <c r="AV815" s="26"/>
      <c r="AW815" s="26"/>
      <c r="AX815" s="26"/>
      <c r="AY815" s="26"/>
    </row>
    <row r="816" spans="2:51">
      <c r="B816" s="31"/>
      <c r="C816" s="50"/>
      <c r="D816" s="50"/>
      <c r="S816" s="26"/>
      <c r="T816" s="26"/>
      <c r="U816" s="26"/>
      <c r="V816" s="26"/>
      <c r="W816" s="26"/>
      <c r="X816" s="26"/>
      <c r="Y816" s="26"/>
      <c r="Z816" s="26"/>
      <c r="AA816" s="26"/>
      <c r="AB816" s="26"/>
      <c r="AC816" s="26"/>
      <c r="AD816" s="26"/>
      <c r="AE816" s="26"/>
      <c r="AF816" s="26"/>
      <c r="AG816" s="26"/>
      <c r="AH816" s="26"/>
      <c r="AI816" s="26"/>
      <c r="AJ816" s="26"/>
      <c r="AK816" s="26"/>
      <c r="AL816" s="26"/>
      <c r="AM816" s="26"/>
      <c r="AN816" s="26"/>
      <c r="AO816" s="26"/>
      <c r="AP816" s="26"/>
      <c r="AQ816" s="26"/>
      <c r="AR816" s="26"/>
      <c r="AS816" s="26"/>
      <c r="AT816" s="26"/>
      <c r="AU816" s="26"/>
      <c r="AV816" s="26"/>
      <c r="AW816" s="26"/>
      <c r="AX816" s="26"/>
      <c r="AY816" s="26"/>
    </row>
    <row r="817" spans="2:51">
      <c r="B817" s="31"/>
      <c r="C817" s="50"/>
      <c r="D817" s="50"/>
      <c r="S817" s="26"/>
      <c r="T817" s="26"/>
      <c r="U817" s="26"/>
      <c r="V817" s="26"/>
      <c r="W817" s="26"/>
      <c r="X817" s="26"/>
      <c r="Y817" s="26"/>
      <c r="Z817" s="26"/>
      <c r="AA817" s="26"/>
      <c r="AB817" s="26"/>
      <c r="AC817" s="26"/>
      <c r="AD817" s="26"/>
      <c r="AE817" s="26"/>
      <c r="AF817" s="26"/>
      <c r="AG817" s="26"/>
      <c r="AH817" s="26"/>
      <c r="AI817" s="26"/>
      <c r="AJ817" s="26"/>
      <c r="AK817" s="26"/>
      <c r="AL817" s="26"/>
      <c r="AM817" s="26"/>
      <c r="AN817" s="26"/>
      <c r="AO817" s="26"/>
      <c r="AP817" s="26"/>
      <c r="AQ817" s="26"/>
      <c r="AR817" s="26"/>
      <c r="AS817" s="26"/>
      <c r="AT817" s="26"/>
      <c r="AU817" s="26"/>
      <c r="AV817" s="26"/>
      <c r="AW817" s="26"/>
      <c r="AX817" s="26"/>
      <c r="AY817" s="26"/>
    </row>
    <row r="818" spans="2:51">
      <c r="B818" s="59" t="s">
        <v>232</v>
      </c>
      <c r="C818" s="50"/>
      <c r="D818" s="50"/>
      <c r="S818" s="26"/>
      <c r="T818" s="26"/>
      <c r="U818" s="26"/>
      <c r="V818" s="26"/>
      <c r="W818" s="26"/>
      <c r="X818" s="26"/>
      <c r="Y818" s="26"/>
      <c r="Z818" s="26"/>
      <c r="AA818" s="26"/>
      <c r="AB818" s="26"/>
      <c r="AC818" s="26"/>
      <c r="AD818" s="26"/>
      <c r="AE818" s="26"/>
      <c r="AF818" s="26"/>
      <c r="AG818" s="26"/>
      <c r="AH818" s="26"/>
      <c r="AI818" s="26"/>
      <c r="AJ818" s="26"/>
      <c r="AK818" s="26"/>
      <c r="AL818" s="26"/>
      <c r="AM818" s="26"/>
      <c r="AN818" s="26"/>
      <c r="AO818" s="26"/>
      <c r="AP818" s="26"/>
      <c r="AQ818" s="26"/>
      <c r="AR818" s="26"/>
      <c r="AS818" s="26"/>
      <c r="AT818" s="26"/>
      <c r="AU818" s="26"/>
      <c r="AV818" s="26"/>
      <c r="AW818" s="26"/>
      <c r="AX818" s="26"/>
      <c r="AY818" s="26"/>
    </row>
    <row r="819" spans="2:51">
      <c r="B819" s="31"/>
      <c r="C819" s="50"/>
      <c r="D819" s="50"/>
      <c r="S819" s="26"/>
      <c r="T819" s="26"/>
      <c r="U819" s="26"/>
      <c r="V819" s="26"/>
      <c r="W819" s="26"/>
      <c r="X819" s="26"/>
      <c r="Y819" s="26"/>
      <c r="Z819" s="26"/>
      <c r="AA819" s="26"/>
      <c r="AB819" s="26"/>
      <c r="AC819" s="26"/>
      <c r="AD819" s="26"/>
      <c r="AE819" s="26"/>
      <c r="AF819" s="26"/>
      <c r="AG819" s="26"/>
      <c r="AH819" s="26"/>
      <c r="AI819" s="26"/>
      <c r="AJ819" s="26"/>
      <c r="AK819" s="26"/>
      <c r="AL819" s="26"/>
      <c r="AM819" s="26"/>
      <c r="AN819" s="26"/>
      <c r="AO819" s="26"/>
      <c r="AP819" s="26"/>
      <c r="AQ819" s="26"/>
      <c r="AR819" s="26"/>
      <c r="AS819" s="26"/>
      <c r="AT819" s="26"/>
      <c r="AU819" s="26"/>
      <c r="AV819" s="26"/>
      <c r="AW819" s="26"/>
      <c r="AX819" s="26"/>
      <c r="AY819" s="26"/>
    </row>
    <row r="820" spans="2:51">
      <c r="B820" s="31"/>
      <c r="C820" s="50"/>
      <c r="D820" s="50"/>
      <c r="S820" s="26"/>
      <c r="T820" s="26"/>
      <c r="U820" s="26"/>
      <c r="V820" s="26"/>
      <c r="W820" s="26"/>
      <c r="X820" s="26"/>
      <c r="Y820" s="26"/>
      <c r="Z820" s="26"/>
      <c r="AA820" s="26"/>
      <c r="AB820" s="26"/>
      <c r="AC820" s="26"/>
      <c r="AD820" s="26"/>
      <c r="AE820" s="26"/>
      <c r="AF820" s="26"/>
      <c r="AG820" s="26"/>
      <c r="AH820" s="26"/>
      <c r="AI820" s="26"/>
      <c r="AJ820" s="26"/>
      <c r="AK820" s="26"/>
      <c r="AL820" s="26"/>
      <c r="AM820" s="26"/>
      <c r="AN820" s="26"/>
      <c r="AO820" s="26"/>
      <c r="AP820" s="26"/>
      <c r="AQ820" s="26"/>
      <c r="AR820" s="26"/>
      <c r="AS820" s="26"/>
      <c r="AT820" s="26"/>
      <c r="AU820" s="26"/>
      <c r="AV820" s="26"/>
      <c r="AW820" s="26"/>
      <c r="AX820" s="26"/>
      <c r="AY820" s="26"/>
    </row>
    <row r="821" spans="2:51">
      <c r="B821" s="31"/>
      <c r="C821" s="50"/>
      <c r="D821" s="50"/>
      <c r="S821" s="26"/>
      <c r="T821" s="26"/>
      <c r="U821" s="26"/>
      <c r="V821" s="26"/>
      <c r="W821" s="26"/>
      <c r="X821" s="26"/>
      <c r="Y821" s="26"/>
      <c r="Z821" s="26"/>
      <c r="AA821" s="26"/>
      <c r="AB821" s="26"/>
      <c r="AC821" s="26"/>
      <c r="AD821" s="26"/>
      <c r="AE821" s="26"/>
      <c r="AF821" s="26"/>
      <c r="AG821" s="26"/>
      <c r="AH821" s="26"/>
      <c r="AI821" s="26"/>
      <c r="AJ821" s="26"/>
      <c r="AK821" s="26"/>
      <c r="AL821" s="26"/>
      <c r="AM821" s="26"/>
      <c r="AN821" s="26"/>
      <c r="AO821" s="26"/>
      <c r="AP821" s="26"/>
      <c r="AQ821" s="26"/>
      <c r="AR821" s="26"/>
      <c r="AS821" s="26"/>
      <c r="AT821" s="26"/>
      <c r="AU821" s="26"/>
      <c r="AV821" s="26"/>
      <c r="AW821" s="26"/>
      <c r="AX821" s="26"/>
      <c r="AY821" s="26"/>
    </row>
    <row r="822" spans="2:51">
      <c r="B822" s="31"/>
      <c r="C822" s="50"/>
      <c r="D822" s="50"/>
      <c r="S822" s="26"/>
      <c r="T822" s="26"/>
      <c r="U822" s="26"/>
      <c r="V822" s="26"/>
      <c r="W822" s="26"/>
      <c r="X822" s="26"/>
      <c r="Y822" s="26"/>
      <c r="Z822" s="26"/>
      <c r="AA822" s="26"/>
      <c r="AB822" s="26"/>
      <c r="AC822" s="26"/>
      <c r="AD822" s="26"/>
      <c r="AE822" s="26"/>
      <c r="AF822" s="26"/>
      <c r="AG822" s="26"/>
      <c r="AH822" s="26"/>
      <c r="AI822" s="26"/>
      <c r="AJ822" s="26"/>
      <c r="AK822" s="26"/>
      <c r="AL822" s="26"/>
      <c r="AM822" s="26"/>
      <c r="AN822" s="26"/>
      <c r="AO822" s="26"/>
      <c r="AP822" s="26"/>
      <c r="AQ822" s="26"/>
      <c r="AR822" s="26"/>
      <c r="AS822" s="26"/>
      <c r="AT822" s="26"/>
      <c r="AU822" s="26"/>
      <c r="AV822" s="26"/>
      <c r="AW822" s="26"/>
      <c r="AX822" s="26"/>
      <c r="AY822" s="26"/>
    </row>
    <row r="823" spans="2:51">
      <c r="B823" s="31"/>
      <c r="C823" s="50"/>
      <c r="D823" s="50"/>
      <c r="S823" s="26"/>
      <c r="T823" s="26"/>
      <c r="U823" s="26"/>
      <c r="V823" s="26"/>
      <c r="W823" s="26"/>
      <c r="X823" s="26"/>
      <c r="Y823" s="26"/>
      <c r="Z823" s="26"/>
      <c r="AA823" s="26"/>
      <c r="AB823" s="26"/>
      <c r="AC823" s="26"/>
      <c r="AD823" s="26"/>
      <c r="AE823" s="26"/>
      <c r="AF823" s="26"/>
      <c r="AG823" s="26"/>
      <c r="AH823" s="26"/>
      <c r="AI823" s="26"/>
      <c r="AJ823" s="26"/>
      <c r="AK823" s="26"/>
      <c r="AL823" s="26"/>
      <c r="AM823" s="26"/>
      <c r="AN823" s="26"/>
      <c r="AO823" s="26"/>
      <c r="AP823" s="26"/>
      <c r="AQ823" s="26"/>
      <c r="AR823" s="26"/>
      <c r="AS823" s="26"/>
      <c r="AT823" s="26"/>
      <c r="AU823" s="26"/>
      <c r="AV823" s="26"/>
      <c r="AW823" s="26"/>
      <c r="AX823" s="26"/>
      <c r="AY823" s="26"/>
    </row>
    <row r="824" spans="2:51">
      <c r="B824" s="31"/>
      <c r="C824" s="50"/>
      <c r="D824" s="50"/>
      <c r="S824" s="26"/>
      <c r="T824" s="26"/>
      <c r="U824" s="26"/>
      <c r="V824" s="26"/>
      <c r="W824" s="26"/>
      <c r="X824" s="26"/>
      <c r="Y824" s="26"/>
      <c r="Z824" s="26"/>
      <c r="AA824" s="26"/>
      <c r="AB824" s="26"/>
      <c r="AC824" s="26"/>
      <c r="AD824" s="26"/>
      <c r="AE824" s="26"/>
      <c r="AF824" s="26"/>
      <c r="AG824" s="26"/>
      <c r="AH824" s="26"/>
      <c r="AI824" s="26"/>
      <c r="AJ824" s="26"/>
      <c r="AK824" s="26"/>
      <c r="AL824" s="26"/>
      <c r="AM824" s="26"/>
      <c r="AN824" s="26"/>
      <c r="AO824" s="26"/>
      <c r="AP824" s="26"/>
      <c r="AQ824" s="26"/>
      <c r="AR824" s="26"/>
      <c r="AS824" s="26"/>
      <c r="AT824" s="26"/>
      <c r="AU824" s="26"/>
      <c r="AV824" s="26"/>
      <c r="AW824" s="26"/>
      <c r="AX824" s="26"/>
      <c r="AY824" s="26"/>
    </row>
    <row r="825" spans="2:51">
      <c r="B825" s="31"/>
      <c r="C825" s="50"/>
      <c r="D825" s="50"/>
      <c r="S825" s="26"/>
      <c r="T825" s="26"/>
      <c r="U825" s="26"/>
      <c r="V825" s="26"/>
      <c r="W825" s="26"/>
      <c r="X825" s="26"/>
      <c r="Y825" s="26"/>
      <c r="Z825" s="26"/>
      <c r="AA825" s="26"/>
      <c r="AB825" s="26"/>
      <c r="AC825" s="26"/>
      <c r="AD825" s="26"/>
      <c r="AE825" s="26"/>
      <c r="AF825" s="26"/>
      <c r="AG825" s="26"/>
      <c r="AH825" s="26"/>
      <c r="AI825" s="26"/>
      <c r="AJ825" s="26"/>
      <c r="AK825" s="26"/>
      <c r="AL825" s="26"/>
      <c r="AM825" s="26"/>
      <c r="AN825" s="26"/>
      <c r="AO825" s="26"/>
      <c r="AP825" s="26"/>
      <c r="AQ825" s="26"/>
      <c r="AR825" s="26"/>
      <c r="AS825" s="26"/>
      <c r="AT825" s="26"/>
      <c r="AU825" s="26"/>
      <c r="AV825" s="26"/>
      <c r="AW825" s="26"/>
      <c r="AX825" s="26"/>
      <c r="AY825" s="26"/>
    </row>
    <row r="826" spans="2:51">
      <c r="B826" s="31"/>
      <c r="C826" s="50"/>
      <c r="D826" s="50"/>
      <c r="S826" s="26"/>
      <c r="T826" s="26"/>
      <c r="U826" s="26"/>
      <c r="V826" s="26"/>
      <c r="W826" s="26"/>
      <c r="X826" s="26"/>
      <c r="Y826" s="26"/>
      <c r="Z826" s="26"/>
      <c r="AA826" s="26"/>
      <c r="AB826" s="26"/>
      <c r="AC826" s="26"/>
      <c r="AD826" s="26"/>
      <c r="AE826" s="26"/>
      <c r="AF826" s="26"/>
      <c r="AG826" s="26"/>
      <c r="AH826" s="26"/>
      <c r="AI826" s="26"/>
      <c r="AJ826" s="26"/>
      <c r="AK826" s="26"/>
      <c r="AL826" s="26"/>
      <c r="AM826" s="26"/>
      <c r="AN826" s="26"/>
      <c r="AO826" s="26"/>
      <c r="AP826" s="26"/>
      <c r="AQ826" s="26"/>
      <c r="AR826" s="26"/>
      <c r="AS826" s="26"/>
      <c r="AT826" s="26"/>
      <c r="AU826" s="26"/>
      <c r="AV826" s="26"/>
      <c r="AW826" s="26"/>
      <c r="AX826" s="26"/>
      <c r="AY826" s="26"/>
    </row>
    <row r="827" spans="2:51">
      <c r="B827" s="31"/>
      <c r="C827" s="50"/>
      <c r="D827" s="50"/>
      <c r="S827" s="26"/>
      <c r="T827" s="26"/>
      <c r="U827" s="26"/>
      <c r="V827" s="26"/>
      <c r="W827" s="26"/>
      <c r="X827" s="26"/>
      <c r="Y827" s="26"/>
      <c r="Z827" s="26"/>
      <c r="AA827" s="26"/>
      <c r="AB827" s="26"/>
      <c r="AC827" s="26"/>
      <c r="AD827" s="26"/>
      <c r="AE827" s="26"/>
      <c r="AF827" s="26"/>
      <c r="AG827" s="26"/>
      <c r="AH827" s="26"/>
      <c r="AI827" s="26"/>
      <c r="AJ827" s="26"/>
      <c r="AK827" s="26"/>
      <c r="AL827" s="26"/>
      <c r="AM827" s="26"/>
      <c r="AN827" s="26"/>
      <c r="AO827" s="26"/>
      <c r="AP827" s="26"/>
      <c r="AQ827" s="26"/>
      <c r="AR827" s="26"/>
      <c r="AS827" s="26"/>
      <c r="AT827" s="26"/>
      <c r="AU827" s="26"/>
      <c r="AV827" s="26"/>
      <c r="AW827" s="26"/>
      <c r="AX827" s="26"/>
      <c r="AY827" s="26"/>
    </row>
    <row r="828" spans="2:51">
      <c r="B828" s="31"/>
      <c r="C828" s="50"/>
      <c r="D828" s="50"/>
      <c r="S828" s="26"/>
      <c r="T828" s="26"/>
      <c r="U828" s="26"/>
      <c r="V828" s="26"/>
      <c r="W828" s="26"/>
      <c r="X828" s="26"/>
      <c r="Y828" s="26"/>
      <c r="Z828" s="26"/>
      <c r="AA828" s="26"/>
      <c r="AB828" s="26"/>
      <c r="AC828" s="26"/>
      <c r="AD828" s="26"/>
      <c r="AE828" s="26"/>
      <c r="AF828" s="26"/>
      <c r="AG828" s="26"/>
      <c r="AH828" s="26"/>
      <c r="AI828" s="26"/>
      <c r="AJ828" s="26"/>
      <c r="AK828" s="26"/>
      <c r="AL828" s="26"/>
      <c r="AM828" s="26"/>
      <c r="AN828" s="26"/>
      <c r="AO828" s="26"/>
      <c r="AP828" s="26"/>
      <c r="AQ828" s="26"/>
      <c r="AR828" s="26"/>
      <c r="AS828" s="26"/>
      <c r="AT828" s="26"/>
      <c r="AU828" s="26"/>
      <c r="AV828" s="26"/>
      <c r="AW828" s="26"/>
      <c r="AX828" s="26"/>
      <c r="AY828" s="26"/>
    </row>
    <row r="829" spans="2:51">
      <c r="B829" s="31"/>
      <c r="C829" s="50"/>
      <c r="D829" s="50"/>
      <c r="S829" s="26"/>
      <c r="T829" s="26"/>
      <c r="U829" s="26"/>
      <c r="V829" s="26"/>
      <c r="W829" s="26"/>
      <c r="X829" s="26"/>
      <c r="Y829" s="26"/>
      <c r="Z829" s="26"/>
      <c r="AA829" s="26"/>
      <c r="AB829" s="26"/>
      <c r="AC829" s="26"/>
      <c r="AD829" s="26"/>
      <c r="AE829" s="26"/>
      <c r="AF829" s="26"/>
      <c r="AG829" s="26"/>
      <c r="AH829" s="26"/>
      <c r="AI829" s="26"/>
      <c r="AJ829" s="26"/>
      <c r="AK829" s="26"/>
      <c r="AL829" s="26"/>
      <c r="AM829" s="26"/>
      <c r="AN829" s="26"/>
      <c r="AO829" s="26"/>
      <c r="AP829" s="26"/>
      <c r="AQ829" s="26"/>
      <c r="AR829" s="26"/>
      <c r="AS829" s="26"/>
      <c r="AT829" s="26"/>
      <c r="AU829" s="26"/>
      <c r="AV829" s="26"/>
      <c r="AW829" s="26"/>
      <c r="AX829" s="26"/>
      <c r="AY829" s="26"/>
    </row>
    <row r="830" spans="2:51">
      <c r="B830" s="31"/>
      <c r="C830" s="50"/>
      <c r="D830" s="50"/>
      <c r="S830" s="26"/>
      <c r="T830" s="26"/>
      <c r="U830" s="26"/>
      <c r="V830" s="26"/>
      <c r="W830" s="26"/>
      <c r="X830" s="26"/>
      <c r="Y830" s="26"/>
      <c r="Z830" s="26"/>
      <c r="AA830" s="26"/>
      <c r="AB830" s="26"/>
      <c r="AC830" s="26"/>
      <c r="AD830" s="26"/>
      <c r="AE830" s="26"/>
      <c r="AF830" s="26"/>
      <c r="AG830" s="26"/>
      <c r="AH830" s="26"/>
      <c r="AI830" s="26"/>
      <c r="AJ830" s="26"/>
      <c r="AK830" s="26"/>
      <c r="AL830" s="26"/>
      <c r="AM830" s="26"/>
      <c r="AN830" s="26"/>
      <c r="AO830" s="26"/>
      <c r="AP830" s="26"/>
      <c r="AQ830" s="26"/>
      <c r="AR830" s="26"/>
      <c r="AS830" s="26"/>
      <c r="AT830" s="26"/>
      <c r="AU830" s="26"/>
      <c r="AV830" s="26"/>
      <c r="AW830" s="26"/>
      <c r="AX830" s="26"/>
      <c r="AY830" s="26"/>
    </row>
    <row r="831" spans="2:51">
      <c r="B831" s="31"/>
      <c r="C831" s="50"/>
      <c r="D831" s="50"/>
      <c r="S831" s="26"/>
      <c r="T831" s="26"/>
      <c r="U831" s="26"/>
      <c r="V831" s="26"/>
      <c r="W831" s="26"/>
      <c r="X831" s="26"/>
      <c r="Y831" s="26"/>
      <c r="Z831" s="26"/>
      <c r="AA831" s="26"/>
      <c r="AB831" s="26"/>
      <c r="AC831" s="26"/>
      <c r="AD831" s="26"/>
      <c r="AE831" s="26"/>
      <c r="AF831" s="26"/>
      <c r="AG831" s="26"/>
      <c r="AH831" s="26"/>
      <c r="AI831" s="26"/>
      <c r="AJ831" s="26"/>
      <c r="AK831" s="26"/>
      <c r="AL831" s="26"/>
      <c r="AM831" s="26"/>
      <c r="AN831" s="26"/>
      <c r="AO831" s="26"/>
      <c r="AP831" s="26"/>
      <c r="AQ831" s="26"/>
      <c r="AR831" s="26"/>
      <c r="AS831" s="26"/>
      <c r="AT831" s="26"/>
      <c r="AU831" s="26"/>
      <c r="AV831" s="26"/>
      <c r="AW831" s="26"/>
      <c r="AX831" s="26"/>
      <c r="AY831" s="26"/>
    </row>
    <row r="832" spans="2:51">
      <c r="B832" s="31"/>
      <c r="C832" s="50"/>
      <c r="D832" s="50"/>
      <c r="S832" s="26"/>
      <c r="T832" s="26"/>
      <c r="U832" s="26"/>
      <c r="V832" s="26"/>
      <c r="W832" s="26"/>
      <c r="X832" s="26"/>
      <c r="Y832" s="26"/>
      <c r="Z832" s="26"/>
      <c r="AA832" s="26"/>
      <c r="AB832" s="26"/>
      <c r="AC832" s="26"/>
      <c r="AD832" s="26"/>
      <c r="AE832" s="26"/>
      <c r="AF832" s="26"/>
      <c r="AG832" s="26"/>
      <c r="AH832" s="26"/>
      <c r="AI832" s="26"/>
      <c r="AJ832" s="26"/>
      <c r="AK832" s="26"/>
      <c r="AL832" s="26"/>
      <c r="AM832" s="26"/>
      <c r="AN832" s="26"/>
      <c r="AO832" s="26"/>
      <c r="AP832" s="26"/>
      <c r="AQ832" s="26"/>
      <c r="AR832" s="26"/>
      <c r="AS832" s="26"/>
      <c r="AT832" s="26"/>
      <c r="AU832" s="26"/>
      <c r="AV832" s="26"/>
      <c r="AW832" s="26"/>
      <c r="AX832" s="26"/>
      <c r="AY832" s="26"/>
    </row>
    <row r="833" spans="1:51">
      <c r="B833" s="31"/>
      <c r="C833" s="50"/>
      <c r="D833" s="50"/>
      <c r="S833" s="26"/>
      <c r="T833" s="26"/>
      <c r="U833" s="26"/>
      <c r="V833" s="26"/>
      <c r="W833" s="26"/>
      <c r="X833" s="26"/>
      <c r="Y833" s="26"/>
      <c r="Z833" s="26"/>
      <c r="AA833" s="26"/>
      <c r="AB833" s="26"/>
      <c r="AC833" s="26"/>
      <c r="AD833" s="26"/>
      <c r="AE833" s="26"/>
      <c r="AF833" s="26"/>
      <c r="AG833" s="26"/>
      <c r="AH833" s="26"/>
      <c r="AI833" s="26"/>
      <c r="AJ833" s="26"/>
      <c r="AK833" s="26"/>
      <c r="AL833" s="26"/>
      <c r="AM833" s="26"/>
      <c r="AN833" s="26"/>
      <c r="AO833" s="26"/>
      <c r="AP833" s="26"/>
      <c r="AQ833" s="26"/>
      <c r="AR833" s="26"/>
      <c r="AS833" s="26"/>
      <c r="AT833" s="26"/>
      <c r="AU833" s="26"/>
      <c r="AV833" s="26"/>
      <c r="AW833" s="26"/>
      <c r="AX833" s="26"/>
      <c r="AY833" s="26"/>
    </row>
    <row r="834" spans="1:51">
      <c r="B834" s="31"/>
      <c r="C834" s="50"/>
      <c r="D834" s="50"/>
      <c r="S834" s="26"/>
      <c r="T834" s="26"/>
      <c r="U834" s="26"/>
      <c r="V834" s="26"/>
      <c r="W834" s="26"/>
      <c r="X834" s="26"/>
      <c r="Y834" s="26"/>
      <c r="Z834" s="26"/>
      <c r="AA834" s="26"/>
      <c r="AB834" s="26"/>
      <c r="AC834" s="26"/>
      <c r="AD834" s="26"/>
      <c r="AE834" s="26"/>
      <c r="AF834" s="26"/>
      <c r="AG834" s="26"/>
      <c r="AH834" s="26"/>
      <c r="AI834" s="26"/>
      <c r="AJ834" s="26"/>
      <c r="AK834" s="26"/>
      <c r="AL834" s="26"/>
      <c r="AM834" s="26"/>
      <c r="AN834" s="26"/>
      <c r="AO834" s="26"/>
      <c r="AP834" s="26"/>
      <c r="AQ834" s="26"/>
      <c r="AR834" s="26"/>
      <c r="AS834" s="26"/>
      <c r="AT834" s="26"/>
      <c r="AU834" s="26"/>
      <c r="AV834" s="26"/>
      <c r="AW834" s="26"/>
      <c r="AX834" s="26"/>
      <c r="AY834" s="26"/>
    </row>
    <row r="835" spans="1:51">
      <c r="B835" s="31"/>
      <c r="C835" s="50"/>
      <c r="D835" s="50"/>
      <c r="S835" s="26"/>
      <c r="T835" s="26"/>
      <c r="U835" s="26"/>
      <c r="V835" s="26"/>
      <c r="W835" s="26"/>
      <c r="X835" s="26"/>
      <c r="Y835" s="26"/>
      <c r="Z835" s="26"/>
      <c r="AA835" s="26"/>
      <c r="AB835" s="26"/>
      <c r="AC835" s="26"/>
      <c r="AD835" s="26"/>
      <c r="AE835" s="26"/>
      <c r="AF835" s="26"/>
      <c r="AG835" s="26"/>
      <c r="AH835" s="26"/>
      <c r="AI835" s="26"/>
      <c r="AJ835" s="26"/>
      <c r="AK835" s="26"/>
      <c r="AL835" s="26"/>
      <c r="AM835" s="26"/>
      <c r="AN835" s="26"/>
      <c r="AO835" s="26"/>
      <c r="AP835" s="26"/>
      <c r="AQ835" s="26"/>
      <c r="AR835" s="26"/>
      <c r="AS835" s="26"/>
      <c r="AT835" s="26"/>
      <c r="AU835" s="26"/>
      <c r="AV835" s="26"/>
      <c r="AW835" s="26"/>
      <c r="AX835" s="26"/>
      <c r="AY835" s="26"/>
    </row>
    <row r="836" spans="1:51">
      <c r="B836" s="31"/>
      <c r="C836" s="50"/>
      <c r="D836" s="50"/>
      <c r="S836" s="26"/>
      <c r="T836" s="26"/>
      <c r="U836" s="26"/>
      <c r="V836" s="26"/>
      <c r="W836" s="26"/>
      <c r="X836" s="26"/>
      <c r="Y836" s="26"/>
      <c r="Z836" s="26"/>
      <c r="AA836" s="26"/>
      <c r="AB836" s="26"/>
      <c r="AC836" s="26"/>
      <c r="AD836" s="26"/>
      <c r="AE836" s="26"/>
      <c r="AF836" s="26"/>
      <c r="AG836" s="26"/>
      <c r="AH836" s="26"/>
      <c r="AI836" s="26"/>
      <c r="AJ836" s="26"/>
      <c r="AK836" s="26"/>
      <c r="AL836" s="26"/>
      <c r="AM836" s="26"/>
      <c r="AN836" s="26"/>
      <c r="AO836" s="26"/>
      <c r="AP836" s="26"/>
      <c r="AQ836" s="26"/>
      <c r="AR836" s="26"/>
      <c r="AS836" s="26"/>
      <c r="AT836" s="26"/>
      <c r="AU836" s="26"/>
      <c r="AV836" s="26"/>
      <c r="AW836" s="26"/>
      <c r="AX836" s="26"/>
      <c r="AY836" s="26"/>
    </row>
    <row r="837" spans="1:51">
      <c r="B837" s="31"/>
      <c r="C837" s="50"/>
      <c r="D837" s="50"/>
      <c r="S837" s="26"/>
      <c r="T837" s="26"/>
      <c r="U837" s="26"/>
      <c r="V837" s="26"/>
      <c r="W837" s="26"/>
      <c r="X837" s="26"/>
      <c r="Y837" s="26"/>
      <c r="Z837" s="26"/>
      <c r="AA837" s="26"/>
      <c r="AB837" s="26"/>
      <c r="AC837" s="26"/>
      <c r="AD837" s="26"/>
      <c r="AE837" s="26"/>
      <c r="AF837" s="26"/>
      <c r="AG837" s="26"/>
      <c r="AH837" s="26"/>
      <c r="AI837" s="26"/>
      <c r="AJ837" s="26"/>
      <c r="AK837" s="26"/>
      <c r="AL837" s="26"/>
      <c r="AM837" s="26"/>
      <c r="AN837" s="26"/>
      <c r="AO837" s="26"/>
      <c r="AP837" s="26"/>
      <c r="AQ837" s="26"/>
      <c r="AR837" s="26"/>
      <c r="AS837" s="26"/>
      <c r="AT837" s="26"/>
      <c r="AU837" s="26"/>
      <c r="AV837" s="26"/>
      <c r="AW837" s="26"/>
      <c r="AX837" s="26"/>
      <c r="AY837" s="26"/>
    </row>
    <row r="838" spans="1:51">
      <c r="B838" s="31"/>
      <c r="C838" s="50"/>
      <c r="D838" s="50"/>
      <c r="S838" s="26"/>
      <c r="T838" s="26"/>
      <c r="U838" s="26"/>
      <c r="V838" s="26"/>
      <c r="W838" s="26"/>
      <c r="X838" s="26"/>
      <c r="Y838" s="26"/>
      <c r="Z838" s="26"/>
      <c r="AA838" s="26"/>
      <c r="AB838" s="26"/>
      <c r="AC838" s="26"/>
      <c r="AD838" s="26"/>
      <c r="AE838" s="26"/>
      <c r="AF838" s="26"/>
      <c r="AG838" s="26"/>
      <c r="AH838" s="26"/>
      <c r="AI838" s="26"/>
      <c r="AJ838" s="26"/>
      <c r="AK838" s="26"/>
      <c r="AL838" s="26"/>
      <c r="AM838" s="26"/>
      <c r="AN838" s="26"/>
      <c r="AO838" s="26"/>
      <c r="AP838" s="26"/>
      <c r="AQ838" s="26"/>
      <c r="AR838" s="26"/>
      <c r="AS838" s="26"/>
      <c r="AT838" s="26"/>
      <c r="AU838" s="26"/>
      <c r="AV838" s="26"/>
      <c r="AW838" s="26"/>
      <c r="AX838" s="26"/>
      <c r="AY838" s="26"/>
    </row>
    <row r="839" spans="1:51">
      <c r="B839" s="31"/>
      <c r="C839" s="50"/>
      <c r="D839" s="50"/>
      <c r="S839" s="26"/>
      <c r="T839" s="26"/>
      <c r="U839" s="26"/>
      <c r="V839" s="26"/>
      <c r="W839" s="26"/>
      <c r="X839" s="26"/>
      <c r="Y839" s="26"/>
      <c r="Z839" s="26"/>
      <c r="AA839" s="26"/>
      <c r="AB839" s="26"/>
      <c r="AC839" s="26"/>
      <c r="AD839" s="26"/>
      <c r="AE839" s="26"/>
      <c r="AF839" s="26"/>
      <c r="AG839" s="26"/>
      <c r="AH839" s="26"/>
      <c r="AI839" s="26"/>
      <c r="AJ839" s="26"/>
      <c r="AK839" s="26"/>
      <c r="AL839" s="26"/>
      <c r="AM839" s="26"/>
      <c r="AN839" s="26"/>
      <c r="AO839" s="26"/>
      <c r="AP839" s="26"/>
      <c r="AQ839" s="26"/>
      <c r="AR839" s="26"/>
      <c r="AS839" s="26"/>
      <c r="AT839" s="26"/>
      <c r="AU839" s="26"/>
      <c r="AV839" s="26"/>
      <c r="AW839" s="26"/>
      <c r="AX839" s="26"/>
      <c r="AY839" s="26"/>
    </row>
    <row r="840" spans="1:51">
      <c r="B840" s="31"/>
      <c r="C840" s="50"/>
      <c r="D840" s="50"/>
      <c r="S840" s="26"/>
      <c r="T840" s="26"/>
      <c r="U840" s="26"/>
      <c r="V840" s="26"/>
      <c r="W840" s="26"/>
      <c r="X840" s="26"/>
      <c r="Y840" s="26"/>
      <c r="Z840" s="26"/>
      <c r="AA840" s="26"/>
      <c r="AB840" s="26"/>
      <c r="AC840" s="26"/>
      <c r="AD840" s="26"/>
      <c r="AE840" s="26"/>
      <c r="AF840" s="26"/>
      <c r="AG840" s="26"/>
      <c r="AH840" s="26"/>
      <c r="AI840" s="26"/>
      <c r="AJ840" s="26"/>
      <c r="AK840" s="26"/>
      <c r="AL840" s="26"/>
      <c r="AM840" s="26"/>
      <c r="AN840" s="26"/>
      <c r="AO840" s="26"/>
      <c r="AP840" s="26"/>
      <c r="AQ840" s="26"/>
      <c r="AR840" s="26"/>
      <c r="AS840" s="26"/>
      <c r="AT840" s="26"/>
      <c r="AU840" s="26"/>
      <c r="AV840" s="26"/>
      <c r="AW840" s="26"/>
      <c r="AX840" s="26"/>
      <c r="AY840" s="26"/>
    </row>
    <row r="841" spans="1:51">
      <c r="B841" s="31"/>
      <c r="C841" s="50"/>
      <c r="D841" s="50"/>
      <c r="S841" s="26"/>
      <c r="T841" s="26"/>
      <c r="U841" s="26"/>
      <c r="V841" s="26"/>
      <c r="W841" s="26"/>
      <c r="X841" s="26"/>
      <c r="Y841" s="26"/>
      <c r="Z841" s="26"/>
      <c r="AA841" s="26"/>
      <c r="AB841" s="26"/>
      <c r="AC841" s="26"/>
      <c r="AD841" s="26"/>
      <c r="AE841" s="26"/>
      <c r="AF841" s="26"/>
      <c r="AG841" s="26"/>
      <c r="AH841" s="26"/>
      <c r="AI841" s="26"/>
      <c r="AJ841" s="26"/>
      <c r="AK841" s="26"/>
      <c r="AL841" s="26"/>
      <c r="AM841" s="26"/>
      <c r="AN841" s="26"/>
      <c r="AO841" s="26"/>
      <c r="AP841" s="26"/>
      <c r="AQ841" s="26"/>
      <c r="AR841" s="26"/>
      <c r="AS841" s="26"/>
      <c r="AT841" s="26"/>
      <c r="AU841" s="26"/>
      <c r="AV841" s="26"/>
      <c r="AW841" s="26"/>
      <c r="AX841" s="26"/>
      <c r="AY841" s="26"/>
    </row>
    <row r="842" spans="1:51">
      <c r="B842" s="31"/>
      <c r="C842" s="50"/>
      <c r="D842" s="50"/>
      <c r="S842" s="26"/>
      <c r="T842" s="26"/>
      <c r="U842" s="26"/>
      <c r="V842" s="26"/>
      <c r="W842" s="26"/>
      <c r="X842" s="26"/>
      <c r="Y842" s="26"/>
      <c r="Z842" s="26"/>
      <c r="AA842" s="26"/>
      <c r="AB842" s="26"/>
      <c r="AC842" s="26"/>
      <c r="AD842" s="26"/>
      <c r="AE842" s="26"/>
      <c r="AF842" s="26"/>
      <c r="AG842" s="26"/>
      <c r="AH842" s="26"/>
      <c r="AI842" s="26"/>
      <c r="AJ842" s="26"/>
      <c r="AK842" s="26"/>
      <c r="AL842" s="26"/>
      <c r="AM842" s="26"/>
      <c r="AN842" s="26"/>
      <c r="AO842" s="26"/>
      <c r="AP842" s="26"/>
      <c r="AQ842" s="26"/>
      <c r="AR842" s="26"/>
      <c r="AS842" s="26"/>
      <c r="AT842" s="26"/>
      <c r="AU842" s="26"/>
      <c r="AV842" s="26"/>
      <c r="AW842" s="26"/>
      <c r="AX842" s="26"/>
      <c r="AY842" s="26"/>
    </row>
    <row r="843" spans="1:51">
      <c r="B843" s="31"/>
      <c r="C843" s="50"/>
      <c r="D843" s="50"/>
      <c r="S843" s="26"/>
      <c r="T843" s="26"/>
      <c r="U843" s="26"/>
      <c r="V843" s="26"/>
      <c r="W843" s="26"/>
      <c r="X843" s="26"/>
      <c r="Y843" s="26"/>
      <c r="Z843" s="26"/>
      <c r="AA843" s="26"/>
      <c r="AB843" s="26"/>
      <c r="AC843" s="26"/>
      <c r="AD843" s="26"/>
      <c r="AE843" s="26"/>
      <c r="AF843" s="26"/>
      <c r="AG843" s="26"/>
      <c r="AH843" s="26"/>
      <c r="AI843" s="26"/>
      <c r="AJ843" s="26"/>
      <c r="AK843" s="26"/>
      <c r="AL843" s="26"/>
      <c r="AM843" s="26"/>
      <c r="AN843" s="26"/>
      <c r="AO843" s="26"/>
      <c r="AP843" s="26"/>
      <c r="AQ843" s="26"/>
      <c r="AR843" s="26"/>
      <c r="AS843" s="26"/>
      <c r="AT843" s="26"/>
      <c r="AU843" s="26"/>
      <c r="AV843" s="26"/>
      <c r="AW843" s="26"/>
      <c r="AX843" s="26"/>
      <c r="AY843" s="26"/>
    </row>
    <row r="844" spans="1:51">
      <c r="B844" s="31"/>
      <c r="C844" s="50"/>
      <c r="D844" s="50"/>
      <c r="S844" s="26"/>
      <c r="T844" s="26"/>
      <c r="U844" s="26"/>
      <c r="V844" s="26"/>
      <c r="W844" s="26"/>
      <c r="X844" s="26"/>
      <c r="Y844" s="26"/>
      <c r="Z844" s="26"/>
      <c r="AA844" s="26"/>
      <c r="AB844" s="26"/>
      <c r="AC844" s="26"/>
      <c r="AD844" s="26"/>
      <c r="AE844" s="26"/>
      <c r="AF844" s="26"/>
      <c r="AG844" s="26"/>
      <c r="AH844" s="26"/>
      <c r="AI844" s="26"/>
      <c r="AJ844" s="26"/>
      <c r="AK844" s="26"/>
      <c r="AL844" s="26"/>
      <c r="AM844" s="26"/>
      <c r="AN844" s="26"/>
      <c r="AO844" s="26"/>
      <c r="AP844" s="26"/>
      <c r="AQ844" s="26"/>
      <c r="AR844" s="26"/>
      <c r="AS844" s="26"/>
      <c r="AT844" s="26"/>
      <c r="AU844" s="26"/>
      <c r="AV844" s="26"/>
      <c r="AW844" s="26"/>
      <c r="AX844" s="26"/>
      <c r="AY844" s="26"/>
    </row>
    <row r="845" spans="1:51">
      <c r="B845" s="31"/>
      <c r="C845" s="50"/>
      <c r="D845" s="50"/>
      <c r="S845" s="26"/>
      <c r="T845" s="26"/>
      <c r="U845" s="26"/>
      <c r="V845" s="26"/>
      <c r="W845" s="26"/>
      <c r="X845" s="26"/>
      <c r="Y845" s="26"/>
      <c r="Z845" s="26"/>
      <c r="AA845" s="26"/>
      <c r="AB845" s="26"/>
      <c r="AC845" s="26"/>
      <c r="AD845" s="26"/>
      <c r="AE845" s="26"/>
      <c r="AF845" s="26"/>
      <c r="AG845" s="26"/>
      <c r="AH845" s="26"/>
      <c r="AI845" s="26"/>
      <c r="AJ845" s="26"/>
      <c r="AK845" s="26"/>
      <c r="AL845" s="26"/>
      <c r="AM845" s="26"/>
      <c r="AN845" s="26"/>
      <c r="AO845" s="26"/>
      <c r="AP845" s="26"/>
      <c r="AQ845" s="26"/>
      <c r="AR845" s="26"/>
      <c r="AS845" s="26"/>
      <c r="AT845" s="26"/>
      <c r="AU845" s="26"/>
      <c r="AV845" s="26"/>
      <c r="AW845" s="26"/>
      <c r="AX845" s="26"/>
      <c r="AY845" s="26"/>
    </row>
    <row r="846" spans="1:51">
      <c r="S846" s="26"/>
      <c r="T846" s="26"/>
      <c r="U846" s="26"/>
      <c r="V846" s="26"/>
      <c r="W846" s="26"/>
      <c r="X846" s="26"/>
      <c r="Y846" s="26"/>
      <c r="Z846" s="26"/>
      <c r="AA846" s="26"/>
      <c r="AB846" s="26"/>
      <c r="AC846" s="26"/>
      <c r="AD846" s="26"/>
      <c r="AE846" s="26"/>
      <c r="AF846" s="26"/>
      <c r="AG846" s="26"/>
      <c r="AH846" s="26"/>
      <c r="AI846" s="26"/>
      <c r="AJ846" s="26"/>
      <c r="AK846" s="26"/>
      <c r="AL846" s="26"/>
      <c r="AM846" s="26"/>
      <c r="AN846" s="26"/>
      <c r="AO846" s="26"/>
      <c r="AP846" s="26"/>
      <c r="AQ846" s="26"/>
      <c r="AR846" s="26"/>
      <c r="AS846" s="26"/>
      <c r="AT846" s="26"/>
      <c r="AU846" s="26"/>
      <c r="AV846" s="26"/>
      <c r="AW846" s="26"/>
      <c r="AX846" s="26"/>
      <c r="AY846" s="26"/>
    </row>
    <row r="847" spans="1:51" ht="33.75" customHeight="1">
      <c r="A847" s="26"/>
      <c r="B847" s="66" t="s">
        <v>1</v>
      </c>
      <c r="C847" s="67"/>
      <c r="D847" s="67"/>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AF847" s="26"/>
      <c r="AG847" s="26"/>
      <c r="AH847" s="26"/>
      <c r="AI847" s="26"/>
      <c r="AJ847" s="26"/>
      <c r="AK847" s="26"/>
      <c r="AL847" s="26"/>
      <c r="AM847" s="26"/>
      <c r="AN847" s="26"/>
      <c r="AO847" s="26"/>
      <c r="AP847" s="26"/>
      <c r="AQ847" s="26"/>
      <c r="AR847" s="26"/>
      <c r="AS847" s="26"/>
      <c r="AT847" s="26"/>
      <c r="AU847" s="26"/>
      <c r="AV847" s="26"/>
      <c r="AW847" s="26"/>
      <c r="AX847" s="26"/>
      <c r="AY847" s="26"/>
    </row>
    <row r="848" spans="1:51">
      <c r="S848" s="26"/>
      <c r="T848" s="26"/>
      <c r="U848" s="26"/>
      <c r="V848" s="26"/>
      <c r="W848" s="26"/>
      <c r="X848" s="26"/>
      <c r="Y848" s="26"/>
      <c r="Z848" s="26"/>
      <c r="AA848" s="26"/>
      <c r="AB848" s="26"/>
      <c r="AC848" s="26"/>
      <c r="AD848" s="26"/>
      <c r="AE848" s="26"/>
      <c r="AF848" s="26"/>
      <c r="AG848" s="26"/>
      <c r="AH848" s="26"/>
      <c r="AI848" s="26"/>
      <c r="AJ848" s="26"/>
      <c r="AK848" s="26"/>
      <c r="AL848" s="26"/>
      <c r="AM848" s="26"/>
      <c r="AN848" s="26"/>
      <c r="AO848" s="26"/>
      <c r="AP848" s="26"/>
      <c r="AQ848" s="26"/>
      <c r="AR848" s="26"/>
      <c r="AS848" s="26"/>
      <c r="AT848" s="26"/>
      <c r="AU848" s="26"/>
      <c r="AV848" s="26"/>
      <c r="AW848" s="26"/>
      <c r="AX848" s="26"/>
      <c r="AY848" s="26"/>
    </row>
    <row r="849" spans="2:51">
      <c r="S849" s="26"/>
      <c r="T849" s="26"/>
      <c r="U849" s="26"/>
      <c r="V849" s="26"/>
      <c r="W849" s="26"/>
      <c r="X849" s="26"/>
      <c r="Y849" s="26"/>
      <c r="Z849" s="26"/>
      <c r="AA849" s="26"/>
      <c r="AB849" s="26"/>
      <c r="AC849" s="26"/>
      <c r="AD849" s="26"/>
      <c r="AE849" s="26"/>
      <c r="AF849" s="26"/>
      <c r="AG849" s="26"/>
      <c r="AH849" s="26"/>
      <c r="AI849" s="26"/>
      <c r="AJ849" s="26"/>
      <c r="AK849" s="26"/>
      <c r="AL849" s="26"/>
      <c r="AM849" s="26"/>
      <c r="AN849" s="26"/>
      <c r="AO849" s="26"/>
      <c r="AP849" s="26"/>
      <c r="AQ849" s="26"/>
      <c r="AR849" s="26"/>
      <c r="AS849" s="26"/>
      <c r="AT849" s="26"/>
      <c r="AU849" s="26"/>
      <c r="AV849" s="26"/>
      <c r="AW849" s="26"/>
      <c r="AX849" s="26"/>
      <c r="AY849" s="26"/>
    </row>
    <row r="850" spans="2:51">
      <c r="S850" s="26"/>
      <c r="T850" s="26"/>
      <c r="U850" s="26"/>
      <c r="V850" s="26"/>
      <c r="W850" s="26"/>
      <c r="X850" s="26"/>
      <c r="Y850" s="26"/>
      <c r="Z850" s="26"/>
      <c r="AA850" s="26"/>
      <c r="AB850" s="26"/>
      <c r="AC850" s="26"/>
      <c r="AD850" s="26"/>
      <c r="AE850" s="26"/>
      <c r="AF850" s="26"/>
      <c r="AG850" s="26"/>
      <c r="AH850" s="26"/>
      <c r="AI850" s="26"/>
      <c r="AJ850" s="26"/>
      <c r="AK850" s="26"/>
      <c r="AL850" s="26"/>
      <c r="AM850" s="26"/>
      <c r="AN850" s="26"/>
      <c r="AO850" s="26"/>
      <c r="AP850" s="26"/>
      <c r="AQ850" s="26"/>
      <c r="AR850" s="26"/>
      <c r="AS850" s="26"/>
      <c r="AT850" s="26"/>
      <c r="AU850" s="26"/>
      <c r="AV850" s="26"/>
      <c r="AW850" s="26"/>
      <c r="AX850" s="26"/>
      <c r="AY850" s="26"/>
    </row>
    <row r="851" spans="2:51">
      <c r="S851" s="26"/>
      <c r="T851" s="26"/>
      <c r="U851" s="26"/>
      <c r="V851" s="26"/>
      <c r="W851" s="26"/>
      <c r="X851" s="26"/>
      <c r="Y851" s="26"/>
      <c r="Z851" s="26"/>
      <c r="AA851" s="26"/>
      <c r="AB851" s="26"/>
      <c r="AC851" s="26"/>
      <c r="AD851" s="26"/>
      <c r="AE851" s="26"/>
      <c r="AF851" s="26"/>
      <c r="AG851" s="26"/>
      <c r="AH851" s="26"/>
      <c r="AI851" s="26"/>
      <c r="AJ851" s="26"/>
      <c r="AK851" s="26"/>
      <c r="AL851" s="26"/>
      <c r="AM851" s="26"/>
      <c r="AN851" s="26"/>
      <c r="AO851" s="26"/>
      <c r="AP851" s="26"/>
      <c r="AQ851" s="26"/>
      <c r="AR851" s="26"/>
      <c r="AS851" s="26"/>
      <c r="AT851" s="26"/>
      <c r="AU851" s="26"/>
      <c r="AV851" s="26"/>
      <c r="AW851" s="26"/>
      <c r="AX851" s="26"/>
      <c r="AY851" s="26"/>
    </row>
    <row r="852" spans="2:51">
      <c r="S852" s="26"/>
      <c r="T852" s="26"/>
      <c r="U852" s="26"/>
      <c r="V852" s="26"/>
      <c r="W852" s="26"/>
      <c r="X852" s="26"/>
      <c r="Y852" s="26"/>
      <c r="Z852" s="26"/>
      <c r="AA852" s="26"/>
      <c r="AB852" s="26"/>
      <c r="AC852" s="26"/>
      <c r="AD852" s="26"/>
      <c r="AE852" s="26"/>
      <c r="AF852" s="26"/>
      <c r="AG852" s="26"/>
      <c r="AH852" s="26"/>
      <c r="AI852" s="26"/>
      <c r="AJ852" s="26"/>
      <c r="AK852" s="26"/>
      <c r="AL852" s="26"/>
      <c r="AM852" s="26"/>
      <c r="AN852" s="26"/>
      <c r="AO852" s="26"/>
      <c r="AP852" s="26"/>
      <c r="AQ852" s="26"/>
      <c r="AR852" s="26"/>
      <c r="AS852" s="26"/>
      <c r="AT852" s="26"/>
      <c r="AU852" s="26"/>
      <c r="AV852" s="26"/>
      <c r="AW852" s="26"/>
      <c r="AX852" s="26"/>
      <c r="AY852" s="26"/>
    </row>
    <row r="853" spans="2:51">
      <c r="S853" s="26"/>
      <c r="T853" s="26"/>
      <c r="U853" s="26"/>
      <c r="V853" s="26"/>
      <c r="W853" s="26"/>
      <c r="X853" s="26"/>
      <c r="Y853" s="26"/>
      <c r="Z853" s="26"/>
      <c r="AA853" s="26"/>
      <c r="AB853" s="26"/>
      <c r="AC853" s="26"/>
      <c r="AD853" s="26"/>
      <c r="AE853" s="26"/>
      <c r="AF853" s="26"/>
      <c r="AG853" s="26"/>
      <c r="AH853" s="26"/>
      <c r="AI853" s="26"/>
      <c r="AJ853" s="26"/>
      <c r="AK853" s="26"/>
      <c r="AL853" s="26"/>
      <c r="AM853" s="26"/>
      <c r="AN853" s="26"/>
      <c r="AO853" s="26"/>
      <c r="AP853" s="26"/>
      <c r="AQ853" s="26"/>
      <c r="AR853" s="26"/>
      <c r="AS853" s="26"/>
      <c r="AT853" s="26"/>
      <c r="AU853" s="26"/>
      <c r="AV853" s="26"/>
      <c r="AW853" s="26"/>
      <c r="AX853" s="26"/>
      <c r="AY853" s="26"/>
    </row>
    <row r="854" spans="2:51">
      <c r="S854" s="26"/>
      <c r="T854" s="26"/>
      <c r="U854" s="26"/>
      <c r="V854" s="26"/>
      <c r="W854" s="26"/>
      <c r="X854" s="26"/>
      <c r="Y854" s="26"/>
      <c r="Z854" s="26"/>
      <c r="AA854" s="26"/>
      <c r="AB854" s="26"/>
      <c r="AC854" s="26"/>
      <c r="AD854" s="26"/>
      <c r="AE854" s="26"/>
      <c r="AF854" s="26"/>
      <c r="AG854" s="26"/>
      <c r="AH854" s="26"/>
      <c r="AI854" s="26"/>
      <c r="AJ854" s="26"/>
      <c r="AK854" s="26"/>
      <c r="AL854" s="26"/>
      <c r="AM854" s="26"/>
      <c r="AN854" s="26"/>
      <c r="AO854" s="26"/>
      <c r="AP854" s="26"/>
      <c r="AQ854" s="26"/>
      <c r="AR854" s="26"/>
      <c r="AS854" s="26"/>
      <c r="AT854" s="26"/>
      <c r="AU854" s="26"/>
      <c r="AV854" s="26"/>
      <c r="AW854" s="26"/>
      <c r="AX854" s="26"/>
      <c r="AY854" s="26"/>
    </row>
    <row r="855" spans="2:51">
      <c r="S855" s="26"/>
      <c r="T855" s="26"/>
      <c r="U855" s="26"/>
      <c r="V855" s="26"/>
      <c r="W855" s="26"/>
      <c r="X855" s="26"/>
      <c r="Y855" s="26"/>
      <c r="Z855" s="26"/>
      <c r="AA855" s="26"/>
      <c r="AB855" s="26"/>
      <c r="AC855" s="26"/>
      <c r="AD855" s="26"/>
      <c r="AE855" s="26"/>
      <c r="AF855" s="26"/>
      <c r="AG855" s="26"/>
      <c r="AH855" s="26"/>
      <c r="AI855" s="26"/>
      <c r="AJ855" s="26"/>
      <c r="AK855" s="26"/>
      <c r="AL855" s="26"/>
      <c r="AM855" s="26"/>
      <c r="AN855" s="26"/>
      <c r="AO855" s="26"/>
      <c r="AP855" s="26"/>
      <c r="AQ855" s="26"/>
      <c r="AR855" s="26"/>
      <c r="AS855" s="26"/>
      <c r="AT855" s="26"/>
      <c r="AU855" s="26"/>
      <c r="AV855" s="26"/>
      <c r="AW855" s="26"/>
      <c r="AX855" s="26"/>
      <c r="AY855" s="26"/>
    </row>
    <row r="856" spans="2:51">
      <c r="S856" s="26"/>
      <c r="T856" s="26"/>
      <c r="U856" s="26"/>
      <c r="V856" s="26"/>
      <c r="W856" s="26"/>
      <c r="X856" s="26"/>
      <c r="Y856" s="26"/>
      <c r="Z856" s="26"/>
      <c r="AA856" s="26"/>
      <c r="AB856" s="26"/>
      <c r="AC856" s="26"/>
      <c r="AD856" s="26"/>
      <c r="AE856" s="26"/>
      <c r="AF856" s="26"/>
      <c r="AG856" s="26"/>
      <c r="AH856" s="26"/>
      <c r="AI856" s="26"/>
      <c r="AJ856" s="26"/>
      <c r="AK856" s="26"/>
      <c r="AL856" s="26"/>
      <c r="AM856" s="26"/>
      <c r="AN856" s="26"/>
      <c r="AO856" s="26"/>
      <c r="AP856" s="26"/>
      <c r="AQ856" s="26"/>
      <c r="AR856" s="26"/>
      <c r="AS856" s="26"/>
      <c r="AT856" s="26"/>
      <c r="AU856" s="26"/>
      <c r="AV856" s="26"/>
      <c r="AW856" s="26"/>
      <c r="AX856" s="26"/>
      <c r="AY856" s="26"/>
    </row>
    <row r="857" spans="2:51">
      <c r="B857" s="30" t="s">
        <v>1</v>
      </c>
      <c r="C857" s="37" t="s">
        <v>129</v>
      </c>
      <c r="D857" s="37" t="s">
        <v>129</v>
      </c>
      <c r="E857" s="37" t="s">
        <v>129</v>
      </c>
      <c r="F857" s="37" t="s">
        <v>129</v>
      </c>
      <c r="G857" s="37" t="s">
        <v>129</v>
      </c>
      <c r="H857" s="37" t="s">
        <v>129</v>
      </c>
      <c r="I857" s="70" t="s">
        <v>129</v>
      </c>
      <c r="J857" s="70" t="s">
        <v>129</v>
      </c>
      <c r="K857" s="37" t="s">
        <v>129</v>
      </c>
      <c r="L857" s="35"/>
      <c r="N857" s="31"/>
      <c r="O857" s="31"/>
      <c r="S857" s="38"/>
      <c r="T857" s="38"/>
      <c r="U857" s="38"/>
      <c r="V857" s="38"/>
      <c r="W857" s="38"/>
      <c r="X857" s="38"/>
      <c r="Y857" s="38"/>
      <c r="Z857" s="38"/>
      <c r="AA857" s="38"/>
      <c r="AB857" s="38"/>
      <c r="AC857" s="38"/>
      <c r="AD857" s="38"/>
      <c r="AE857" s="38"/>
      <c r="AF857" s="38"/>
      <c r="AG857" s="38"/>
      <c r="AH857" s="38"/>
      <c r="AI857" s="26"/>
      <c r="AJ857" s="26"/>
      <c r="AK857" s="26"/>
      <c r="AL857" s="26"/>
      <c r="AM857" s="26"/>
      <c r="AN857" s="26"/>
      <c r="AO857" s="26"/>
      <c r="AP857" s="26"/>
      <c r="AQ857" s="26"/>
      <c r="AR857" s="26"/>
      <c r="AS857" s="26"/>
      <c r="AT857" s="26"/>
      <c r="AU857" s="26"/>
      <c r="AV857" s="26"/>
      <c r="AW857" s="26"/>
      <c r="AX857" s="26"/>
      <c r="AY857" s="26"/>
    </row>
    <row r="858" spans="2:51">
      <c r="B858" s="14"/>
      <c r="C858" s="77" t="s">
        <v>169</v>
      </c>
      <c r="D858" s="77" t="s">
        <v>170</v>
      </c>
      <c r="E858" s="77" t="s">
        <v>171</v>
      </c>
      <c r="F858" s="77" t="s">
        <v>172</v>
      </c>
      <c r="G858" s="77" t="s">
        <v>173</v>
      </c>
      <c r="H858" s="77" t="s">
        <v>174</v>
      </c>
      <c r="I858" s="78" t="s">
        <v>175</v>
      </c>
      <c r="J858" s="77" t="s">
        <v>176</v>
      </c>
      <c r="K858" s="77" t="s">
        <v>156</v>
      </c>
      <c r="L858" s="35"/>
      <c r="N858" s="31"/>
      <c r="O858" s="31"/>
      <c r="S858" s="26"/>
      <c r="T858" s="26"/>
      <c r="U858" s="26"/>
      <c r="V858" s="26"/>
      <c r="W858" s="26"/>
      <c r="X858" s="26"/>
      <c r="Y858" s="26"/>
      <c r="Z858" s="26"/>
      <c r="AA858" s="26"/>
      <c r="AB858" s="26"/>
      <c r="AC858" s="26"/>
      <c r="AD858" s="26"/>
      <c r="AE858" s="26"/>
      <c r="AF858" s="26"/>
      <c r="AG858" s="26"/>
      <c r="AH858" s="26"/>
      <c r="AI858" s="26"/>
      <c r="AJ858" s="26"/>
      <c r="AK858" s="26"/>
      <c r="AL858" s="26"/>
      <c r="AM858" s="26"/>
      <c r="AN858" s="26"/>
      <c r="AO858" s="26"/>
      <c r="AP858" s="26"/>
      <c r="AQ858" s="26"/>
      <c r="AR858" s="26"/>
      <c r="AS858" s="26"/>
      <c r="AT858" s="26"/>
      <c r="AU858" s="26"/>
      <c r="AV858" s="26"/>
      <c r="AW858" s="26"/>
      <c r="AX858" s="26"/>
      <c r="AY858" s="26"/>
    </row>
    <row r="859" spans="2:51">
      <c r="B859" s="32" t="s">
        <v>177</v>
      </c>
      <c r="C859" s="12" t="e">
        <f>SUM(#REF!)+#REF!</f>
        <v>#REF!</v>
      </c>
      <c r="D859" s="12" t="e">
        <f>SUM(#REF!)</f>
        <v>#REF!</v>
      </c>
      <c r="E859" s="12" t="e">
        <f>SUM(#REF!)</f>
        <v>#REF!</v>
      </c>
      <c r="F859" s="12" t="e">
        <f>SUM(#REF!)</f>
        <v>#REF!</v>
      </c>
      <c r="G859" s="12" t="e">
        <f>SUM(#REF!)</f>
        <v>#REF!</v>
      </c>
      <c r="H859" s="12" t="e">
        <f>SUM(#REF!)+#REF!</f>
        <v>#REF!</v>
      </c>
      <c r="I859" s="12" t="e">
        <f>SUM(#REF!)</f>
        <v>#REF!</v>
      </c>
      <c r="J859" s="12" t="e">
        <f>SUM(#REF!)</f>
        <v>#REF!</v>
      </c>
      <c r="K859" s="12" t="e">
        <f>#REF!*#REF!/100+#REF!</f>
        <v>#REF!</v>
      </c>
      <c r="L859" s="35"/>
      <c r="N859" s="46"/>
      <c r="O859" s="46"/>
      <c r="S859" s="26"/>
      <c r="T859" s="26"/>
      <c r="U859" s="26"/>
      <c r="V859" s="26"/>
      <c r="W859" s="26"/>
      <c r="X859" s="26"/>
      <c r="Y859" s="26"/>
      <c r="Z859" s="26"/>
      <c r="AA859" s="26"/>
      <c r="AB859" s="26"/>
      <c r="AC859" s="26"/>
      <c r="AD859" s="26"/>
      <c r="AE859" s="26"/>
      <c r="AF859" s="26"/>
      <c r="AG859" s="26"/>
      <c r="AH859" s="26"/>
      <c r="AI859" s="26"/>
      <c r="AJ859" s="26"/>
      <c r="AK859" s="26"/>
      <c r="AL859" s="26"/>
      <c r="AM859" s="26"/>
      <c r="AN859" s="26"/>
      <c r="AO859" s="26"/>
      <c r="AP859" s="26"/>
      <c r="AQ859" s="26"/>
      <c r="AR859" s="26"/>
      <c r="AS859" s="26"/>
      <c r="AT859" s="26"/>
      <c r="AU859" s="26"/>
      <c r="AV859" s="26"/>
      <c r="AW859" s="26"/>
      <c r="AX859" s="26"/>
      <c r="AY859" s="26"/>
    </row>
    <row r="860" spans="2:51">
      <c r="B860" s="32" t="s">
        <v>132</v>
      </c>
      <c r="C860" s="12"/>
      <c r="D860" s="12"/>
      <c r="E860" s="12"/>
      <c r="F860" s="12"/>
      <c r="G860" s="12"/>
      <c r="H860" s="12" t="e">
        <f>#REF!*#REF!/100</f>
        <v>#REF!</v>
      </c>
      <c r="I860" s="73"/>
      <c r="J860" s="73"/>
      <c r="K860" s="12"/>
      <c r="L860" s="35"/>
      <c r="N860" s="46"/>
      <c r="O860" s="46"/>
      <c r="S860" s="26"/>
      <c r="T860" s="26"/>
      <c r="U860" s="26"/>
      <c r="V860" s="26"/>
      <c r="W860" s="26"/>
      <c r="X860" s="26"/>
      <c r="Y860" s="26"/>
      <c r="Z860" s="26"/>
      <c r="AA860" s="26"/>
      <c r="AB860" s="26"/>
      <c r="AC860" s="26"/>
      <c r="AD860" s="26"/>
      <c r="AE860" s="26"/>
      <c r="AF860" s="26"/>
      <c r="AG860" s="26"/>
      <c r="AH860" s="26"/>
      <c r="AI860" s="26"/>
      <c r="AJ860" s="26"/>
      <c r="AK860" s="26"/>
      <c r="AL860" s="26"/>
      <c r="AM860" s="26"/>
      <c r="AN860" s="26"/>
      <c r="AO860" s="26"/>
      <c r="AP860" s="26"/>
      <c r="AQ860" s="26"/>
      <c r="AR860" s="26"/>
      <c r="AS860" s="26"/>
      <c r="AT860" s="26"/>
      <c r="AU860" s="26"/>
      <c r="AV860" s="26"/>
      <c r="AW860" s="26"/>
      <c r="AX860" s="26"/>
      <c r="AY860" s="26"/>
    </row>
    <row r="861" spans="2:51">
      <c r="B861" s="32" t="s">
        <v>133</v>
      </c>
      <c r="C861" s="12" t="e">
        <f>#REF!+#REF!</f>
        <v>#REF!</v>
      </c>
      <c r="D861" s="12" t="e">
        <f>#REF!</f>
        <v>#REF!</v>
      </c>
      <c r="E861" s="12" t="e">
        <f>#REF!</f>
        <v>#REF!</v>
      </c>
      <c r="F861" s="12" t="e">
        <f>#REF!</f>
        <v>#REF!</v>
      </c>
      <c r="G861" s="12" t="e">
        <f>#REF!</f>
        <v>#REF!</v>
      </c>
      <c r="H861" s="12" t="e">
        <f>#REF!+#REF!*#REF!/100+#REF!*#REF!/100</f>
        <v>#REF!</v>
      </c>
      <c r="I861" s="12" t="e">
        <f>#REF!</f>
        <v>#REF!</v>
      </c>
      <c r="J861" s="12" t="e">
        <f>#REF!</f>
        <v>#REF!</v>
      </c>
      <c r="K861" s="12" t="e">
        <f>#REF!</f>
        <v>#REF!</v>
      </c>
      <c r="L861" s="35"/>
      <c r="N861" s="46"/>
      <c r="O861" s="46"/>
      <c r="S861" s="26"/>
      <c r="T861" s="26"/>
      <c r="U861" s="26"/>
      <c r="V861" s="26"/>
      <c r="W861" s="26"/>
      <c r="X861" s="26"/>
      <c r="Y861" s="26"/>
      <c r="Z861" s="26"/>
      <c r="AA861" s="26"/>
      <c r="AB861" s="26"/>
      <c r="AC861" s="26"/>
      <c r="AD861" s="26"/>
      <c r="AE861" s="26"/>
      <c r="AF861" s="26"/>
      <c r="AG861" s="26"/>
      <c r="AH861" s="26"/>
      <c r="AI861" s="26"/>
      <c r="AJ861" s="26"/>
      <c r="AK861" s="26"/>
      <c r="AL861" s="26"/>
      <c r="AM861" s="26"/>
      <c r="AN861" s="26"/>
      <c r="AO861" s="26"/>
      <c r="AP861" s="26"/>
      <c r="AQ861" s="26"/>
      <c r="AR861" s="26"/>
      <c r="AS861" s="26"/>
      <c r="AT861" s="26"/>
      <c r="AU861" s="26"/>
      <c r="AV861" s="26"/>
      <c r="AW861" s="26"/>
      <c r="AX861" s="26"/>
      <c r="AY861" s="26"/>
    </row>
    <row r="862" spans="2:51">
      <c r="B862" s="32" t="s">
        <v>134</v>
      </c>
      <c r="C862" s="12"/>
      <c r="D862" s="12"/>
      <c r="E862" s="12"/>
      <c r="F862" s="12"/>
      <c r="G862" s="12"/>
      <c r="H862" s="12" t="e">
        <f>#REF!*#REF!/100</f>
        <v>#REF!</v>
      </c>
      <c r="I862" s="73"/>
      <c r="J862" s="73"/>
      <c r="K862" s="12" t="e">
        <f>#REF!*#REF!/100</f>
        <v>#REF!</v>
      </c>
      <c r="L862" s="35"/>
      <c r="N862" s="46"/>
      <c r="O862" s="46"/>
      <c r="S862" s="26"/>
      <c r="T862" s="26"/>
      <c r="U862" s="26"/>
      <c r="V862" s="26"/>
      <c r="W862" s="26"/>
      <c r="X862" s="26"/>
      <c r="Y862" s="26"/>
      <c r="Z862" s="26"/>
      <c r="AA862" s="26"/>
      <c r="AB862" s="26"/>
      <c r="AC862" s="26"/>
      <c r="AD862" s="26"/>
      <c r="AE862" s="26"/>
      <c r="AF862" s="26"/>
      <c r="AG862" s="26"/>
      <c r="AH862" s="26"/>
      <c r="AI862" s="26"/>
      <c r="AJ862" s="26"/>
      <c r="AK862" s="26"/>
      <c r="AL862" s="26"/>
      <c r="AM862" s="26"/>
      <c r="AN862" s="26"/>
      <c r="AO862" s="26"/>
      <c r="AP862" s="26"/>
      <c r="AQ862" s="26"/>
      <c r="AR862" s="26"/>
      <c r="AS862" s="26"/>
      <c r="AT862" s="26"/>
      <c r="AU862" s="26"/>
      <c r="AV862" s="26"/>
      <c r="AW862" s="26"/>
      <c r="AX862" s="26"/>
      <c r="AY862" s="26"/>
    </row>
    <row r="863" spans="2:51">
      <c r="B863" s="32" t="s">
        <v>135</v>
      </c>
      <c r="C863" s="12" t="e">
        <f>#REF!</f>
        <v>#REF!</v>
      </c>
      <c r="D863" s="12"/>
      <c r="E863" s="12"/>
      <c r="F863" s="12"/>
      <c r="G863" s="12"/>
      <c r="H863" s="12" t="e">
        <f>SUM(#REF!)*#REF!/100+SUM(#REF!)*#REF!/100</f>
        <v>#REF!</v>
      </c>
      <c r="I863" s="73"/>
      <c r="J863" s="73" t="e">
        <f>#REF!</f>
        <v>#REF!</v>
      </c>
      <c r="K863" s="12" t="e">
        <f>#REF!*#REF!/100+#REF!*#REF!/100+#REF!*#REF!/100+#REF!*#REF!/100+#REF!*#REF!/100+#REF!*#REF!/100</f>
        <v>#REF!</v>
      </c>
      <c r="L863" s="35"/>
      <c r="N863" s="46"/>
      <c r="O863" s="46"/>
      <c r="S863" s="26"/>
      <c r="T863" s="26"/>
      <c r="U863" s="26"/>
      <c r="V863" s="26"/>
      <c r="W863" s="26"/>
      <c r="X863" s="26"/>
      <c r="Y863" s="26"/>
      <c r="Z863" s="26"/>
      <c r="AA863" s="26"/>
      <c r="AB863" s="26"/>
      <c r="AC863" s="26"/>
      <c r="AD863" s="26"/>
      <c r="AE863" s="26"/>
      <c r="AF863" s="26"/>
      <c r="AG863" s="26"/>
      <c r="AH863" s="26"/>
      <c r="AI863" s="26"/>
      <c r="AJ863" s="26"/>
      <c r="AK863" s="26"/>
      <c r="AL863" s="26"/>
      <c r="AM863" s="26"/>
      <c r="AN863" s="26"/>
      <c r="AO863" s="26"/>
      <c r="AP863" s="26"/>
      <c r="AQ863" s="26"/>
      <c r="AR863" s="26"/>
      <c r="AS863" s="26"/>
      <c r="AT863" s="26"/>
      <c r="AU863" s="26"/>
      <c r="AV863" s="26"/>
      <c r="AW863" s="26"/>
      <c r="AX863" s="26"/>
      <c r="AY863" s="26"/>
    </row>
    <row r="864" spans="2:51">
      <c r="B864" s="32" t="s">
        <v>137</v>
      </c>
      <c r="C864" s="12"/>
      <c r="D864" s="12"/>
      <c r="E864" s="12"/>
      <c r="F864" s="12"/>
      <c r="G864" s="12"/>
      <c r="H864" s="12" t="e">
        <f>#REF!*#REF!/100</f>
        <v>#REF!</v>
      </c>
      <c r="I864" s="73"/>
      <c r="J864" s="73"/>
      <c r="K864" s="12" t="e">
        <f>#REF!*#REF!/100+#REF!*#REF!/100</f>
        <v>#REF!</v>
      </c>
      <c r="L864" s="35"/>
      <c r="N864" s="46"/>
      <c r="O864" s="46"/>
      <c r="S864" s="26"/>
      <c r="T864" s="26"/>
      <c r="U864" s="26"/>
      <c r="V864" s="26"/>
      <c r="W864" s="26"/>
      <c r="X864" s="26"/>
      <c r="Y864" s="26"/>
      <c r="Z864" s="26"/>
      <c r="AA864" s="26"/>
      <c r="AB864" s="26"/>
      <c r="AC864" s="26"/>
      <c r="AD864" s="26"/>
      <c r="AE864" s="26"/>
      <c r="AF864" s="26"/>
      <c r="AG864" s="26"/>
      <c r="AH864" s="26"/>
      <c r="AI864" s="26"/>
      <c r="AJ864" s="26"/>
      <c r="AK864" s="26"/>
      <c r="AL864" s="26"/>
      <c r="AM864" s="26"/>
      <c r="AN864" s="26"/>
      <c r="AO864" s="26"/>
      <c r="AP864" s="26"/>
      <c r="AQ864" s="26"/>
      <c r="AR864" s="26"/>
      <c r="AS864" s="26"/>
      <c r="AT864" s="26"/>
      <c r="AU864" s="26"/>
      <c r="AV864" s="26"/>
      <c r="AW864" s="26"/>
      <c r="AX864" s="26"/>
      <c r="AY864" s="26"/>
    </row>
    <row r="865" spans="2:51">
      <c r="B865" s="32" t="s">
        <v>136</v>
      </c>
      <c r="C865" s="12"/>
      <c r="D865" s="12"/>
      <c r="E865" s="12"/>
      <c r="F865" s="12"/>
      <c r="G865" s="12"/>
      <c r="H865" s="12"/>
      <c r="I865" s="73"/>
      <c r="J865" s="73"/>
      <c r="K865" s="12" t="e">
        <f>#REF!*#REF!/100</f>
        <v>#REF!</v>
      </c>
      <c r="L865" s="35"/>
      <c r="N865" s="46"/>
      <c r="O865" s="46"/>
      <c r="S865" s="26"/>
      <c r="T865" s="26"/>
      <c r="U865" s="26"/>
      <c r="V865" s="26"/>
      <c r="W865" s="26"/>
      <c r="X865" s="26"/>
      <c r="Y865" s="26"/>
      <c r="Z865" s="26"/>
      <c r="AA865" s="26"/>
      <c r="AB865" s="26"/>
      <c r="AC865" s="26"/>
      <c r="AD865" s="26"/>
      <c r="AE865" s="26"/>
      <c r="AF865" s="26"/>
      <c r="AG865" s="26"/>
      <c r="AH865" s="26"/>
      <c r="AI865" s="26"/>
      <c r="AJ865" s="26"/>
      <c r="AK865" s="26"/>
      <c r="AL865" s="26"/>
      <c r="AM865" s="26"/>
      <c r="AN865" s="26"/>
      <c r="AO865" s="26"/>
      <c r="AP865" s="26"/>
      <c r="AQ865" s="26"/>
      <c r="AR865" s="26"/>
      <c r="AS865" s="26"/>
      <c r="AT865" s="26"/>
      <c r="AU865" s="26"/>
      <c r="AV865" s="26"/>
      <c r="AW865" s="26"/>
      <c r="AX865" s="26"/>
      <c r="AY865" s="26"/>
    </row>
    <row r="866" spans="2:51">
      <c r="B866" s="32" t="s">
        <v>138</v>
      </c>
      <c r="C866" s="12"/>
      <c r="D866" s="12"/>
      <c r="E866" s="12"/>
      <c r="F866" s="12"/>
      <c r="G866" s="12"/>
      <c r="H866" s="12" t="e">
        <f>#REF!*#REF!/100</f>
        <v>#REF!</v>
      </c>
      <c r="I866" s="73"/>
      <c r="J866" s="73"/>
      <c r="K866" s="12"/>
      <c r="L866" s="35"/>
      <c r="N866" s="46"/>
      <c r="O866" s="46"/>
      <c r="S866" s="26"/>
      <c r="T866" s="26"/>
      <c r="U866" s="26"/>
      <c r="V866" s="26"/>
      <c r="W866" s="26"/>
      <c r="X866" s="26"/>
      <c r="Y866" s="26"/>
      <c r="Z866" s="26"/>
      <c r="AA866" s="26"/>
      <c r="AB866" s="26"/>
      <c r="AC866" s="26"/>
      <c r="AD866" s="26"/>
      <c r="AE866" s="26"/>
      <c r="AF866" s="26"/>
      <c r="AG866" s="26"/>
      <c r="AH866" s="26"/>
      <c r="AI866" s="26"/>
      <c r="AJ866" s="26"/>
      <c r="AK866" s="26"/>
      <c r="AL866" s="26"/>
      <c r="AM866" s="26"/>
      <c r="AN866" s="26"/>
      <c r="AO866" s="26"/>
      <c r="AP866" s="26"/>
      <c r="AQ866" s="26"/>
      <c r="AR866" s="26"/>
      <c r="AS866" s="26"/>
      <c r="AT866" s="26"/>
      <c r="AU866" s="26"/>
      <c r="AV866" s="26"/>
      <c r="AW866" s="26"/>
      <c r="AX866" s="26"/>
      <c r="AY866" s="26"/>
    </row>
    <row r="867" spans="2:51">
      <c r="B867" s="32" t="s">
        <v>178</v>
      </c>
      <c r="C867" s="12"/>
      <c r="D867" s="12"/>
      <c r="E867" s="12"/>
      <c r="F867" s="12"/>
      <c r="G867" s="12"/>
      <c r="H867" s="12"/>
      <c r="I867" s="73"/>
      <c r="J867" s="73" t="e">
        <f>#REF!*#REF!/100</f>
        <v>#REF!</v>
      </c>
      <c r="K867" s="12" t="e">
        <f>#REF!*#REF!/100+#REF!*#REF!/100+#REF!*#REF!/100+#REF!*#REF!/100+#REF!*#REF!/100</f>
        <v>#REF!</v>
      </c>
      <c r="L867" s="35"/>
      <c r="N867" s="46"/>
      <c r="O867" s="46"/>
      <c r="S867" s="26"/>
      <c r="T867" s="26"/>
      <c r="U867" s="26"/>
      <c r="V867" s="26"/>
      <c r="W867" s="26"/>
      <c r="X867" s="26"/>
      <c r="Y867" s="26"/>
      <c r="Z867" s="26"/>
      <c r="AA867" s="26"/>
      <c r="AB867" s="26"/>
      <c r="AC867" s="26"/>
      <c r="AD867" s="26"/>
      <c r="AE867" s="26"/>
      <c r="AF867" s="26"/>
      <c r="AG867" s="26"/>
      <c r="AH867" s="26"/>
      <c r="AI867" s="26"/>
      <c r="AJ867" s="26"/>
      <c r="AK867" s="26"/>
      <c r="AL867" s="26"/>
      <c r="AM867" s="26"/>
      <c r="AN867" s="26"/>
      <c r="AO867" s="26"/>
      <c r="AP867" s="26"/>
      <c r="AQ867" s="26"/>
      <c r="AR867" s="26"/>
      <c r="AS867" s="26"/>
      <c r="AT867" s="26"/>
      <c r="AU867" s="26"/>
      <c r="AV867" s="26"/>
      <c r="AW867" s="26"/>
      <c r="AX867" s="26"/>
      <c r="AY867" s="26"/>
    </row>
    <row r="868" spans="2:51">
      <c r="B868" s="32" t="s">
        <v>141</v>
      </c>
      <c r="C868" s="12" t="e">
        <f>SUM(#REF!)</f>
        <v>#REF!</v>
      </c>
      <c r="D868" s="12"/>
      <c r="E868" s="12"/>
      <c r="F868" s="12"/>
      <c r="G868" s="12"/>
      <c r="H868" s="12" t="e">
        <f>SUM(#REF!)*#REF!/100</f>
        <v>#REF!</v>
      </c>
      <c r="I868" s="73"/>
      <c r="J868" s="73"/>
      <c r="K868" s="12"/>
      <c r="L868" s="35"/>
      <c r="N868" s="46"/>
      <c r="O868" s="46"/>
      <c r="S868" s="26"/>
      <c r="T868" s="26"/>
      <c r="U868" s="26"/>
      <c r="V868" s="26"/>
      <c r="W868" s="26"/>
      <c r="X868" s="26"/>
      <c r="Y868" s="26"/>
      <c r="Z868" s="26"/>
      <c r="AA868" s="26"/>
      <c r="AB868" s="26"/>
      <c r="AC868" s="26"/>
      <c r="AD868" s="26"/>
      <c r="AE868" s="26"/>
      <c r="AF868" s="26"/>
      <c r="AG868" s="26"/>
      <c r="AH868" s="26"/>
      <c r="AI868" s="26"/>
      <c r="AJ868" s="26"/>
      <c r="AK868" s="26"/>
      <c r="AL868" s="26"/>
      <c r="AM868" s="26"/>
      <c r="AN868" s="26"/>
      <c r="AO868" s="26"/>
      <c r="AP868" s="26"/>
      <c r="AQ868" s="26"/>
      <c r="AR868" s="26"/>
      <c r="AS868" s="26"/>
      <c r="AT868" s="26"/>
      <c r="AU868" s="26"/>
      <c r="AV868" s="26"/>
      <c r="AW868" s="26"/>
      <c r="AX868" s="26"/>
      <c r="AY868" s="26"/>
    </row>
    <row r="869" spans="2:51">
      <c r="B869" s="32" t="s">
        <v>179</v>
      </c>
      <c r="C869" s="12" t="e">
        <f>#REF!+#REF!+#REF!+#REF!+#REF!+#REF!</f>
        <v>#REF!</v>
      </c>
      <c r="D869" s="12" t="e">
        <f>#REF!+#REF!+#REF!+#REF!+#REF!+#REF!</f>
        <v>#REF!</v>
      </c>
      <c r="E869" s="12" t="e">
        <f>#REF!+#REF!+#REF!+#REF!+#REF!+#REF!</f>
        <v>#REF!</v>
      </c>
      <c r="F869" s="12" t="e">
        <f>#REF!+#REF!+#REF!+#REF!+#REF!+#REF!</f>
        <v>#REF!</v>
      </c>
      <c r="G869" s="12" t="e">
        <f>#REF!+#REF!+#REF!+#REF!+#REF!+#REF!</f>
        <v>#REF!</v>
      </c>
      <c r="H869" s="12" t="e">
        <f>#REF!+#REF!+#REF!+#REF!+#REF!+#REF!</f>
        <v>#REF!</v>
      </c>
      <c r="I869" s="12" t="e">
        <f>#REF!+#REF!+#REF!+#REF!+#REF!+#REF!</f>
        <v>#REF!</v>
      </c>
      <c r="J869" s="12" t="e">
        <f>#REF!+#REF!+#REF!+#REF!+#REF!+#REF!</f>
        <v>#REF!</v>
      </c>
      <c r="K869" s="12"/>
      <c r="L869" s="35"/>
      <c r="N869" s="46"/>
      <c r="O869" s="46"/>
      <c r="S869" s="26"/>
      <c r="T869" s="26"/>
      <c r="U869" s="26"/>
      <c r="V869" s="26"/>
      <c r="W869" s="26"/>
      <c r="X869" s="26"/>
      <c r="Y869" s="26"/>
      <c r="Z869" s="26"/>
      <c r="AA869" s="26"/>
      <c r="AB869" s="26"/>
      <c r="AC869" s="26"/>
      <c r="AD869" s="26"/>
      <c r="AE869" s="26"/>
      <c r="AF869" s="26"/>
      <c r="AG869" s="26"/>
      <c r="AH869" s="26"/>
      <c r="AI869" s="26"/>
      <c r="AJ869" s="26"/>
      <c r="AK869" s="26"/>
      <c r="AL869" s="26"/>
      <c r="AM869" s="26"/>
      <c r="AN869" s="26"/>
      <c r="AO869" s="26"/>
      <c r="AP869" s="26"/>
      <c r="AQ869" s="26"/>
      <c r="AR869" s="26"/>
      <c r="AS869" s="26"/>
      <c r="AT869" s="26"/>
      <c r="AU869" s="26"/>
      <c r="AV869" s="26"/>
      <c r="AW869" s="26"/>
      <c r="AX869" s="26"/>
      <c r="AY869" s="26"/>
    </row>
    <row r="870" spans="2:51">
      <c r="B870" s="32" t="s">
        <v>211</v>
      </c>
      <c r="C870" s="12"/>
      <c r="D870" s="12"/>
      <c r="E870" s="12"/>
      <c r="F870" s="12"/>
      <c r="G870" s="12"/>
      <c r="H870" s="12" t="e">
        <f>(-#REF!)</f>
        <v>#REF!</v>
      </c>
      <c r="I870" s="73"/>
      <c r="J870" s="73"/>
      <c r="K870" s="12"/>
      <c r="L870" s="35"/>
      <c r="N870" s="46"/>
      <c r="O870" s="46"/>
      <c r="S870" s="26"/>
      <c r="T870" s="26"/>
      <c r="U870" s="26"/>
      <c r="V870" s="26"/>
      <c r="W870" s="26"/>
      <c r="X870" s="26"/>
      <c r="Y870" s="26"/>
      <c r="Z870" s="26"/>
      <c r="AA870" s="26"/>
      <c r="AB870" s="26"/>
      <c r="AC870" s="26"/>
      <c r="AD870" s="26"/>
      <c r="AE870" s="26"/>
      <c r="AF870" s="26"/>
      <c r="AG870" s="26"/>
      <c r="AH870" s="26"/>
      <c r="AI870" s="26"/>
      <c r="AJ870" s="26"/>
      <c r="AK870" s="26"/>
      <c r="AL870" s="26"/>
      <c r="AM870" s="26"/>
      <c r="AN870" s="26"/>
      <c r="AO870" s="26"/>
      <c r="AP870" s="26"/>
      <c r="AQ870" s="26"/>
      <c r="AR870" s="26"/>
      <c r="AS870" s="26"/>
      <c r="AT870" s="26"/>
      <c r="AU870" s="26"/>
      <c r="AV870" s="26"/>
      <c r="AW870" s="26"/>
      <c r="AX870" s="26"/>
      <c r="AY870" s="26"/>
    </row>
    <row r="871" spans="2:51">
      <c r="B871" s="32" t="s">
        <v>143</v>
      </c>
      <c r="C871" s="12"/>
      <c r="D871" s="12"/>
      <c r="E871" s="12"/>
      <c r="F871" s="12"/>
      <c r="G871" s="12"/>
      <c r="H871" s="12" t="e">
        <f>(#REF!+#REF!+#REF!+#REF!)*#REF!/100</f>
        <v>#REF!</v>
      </c>
      <c r="I871" s="73"/>
      <c r="J871" s="73"/>
      <c r="K871" s="12"/>
      <c r="L871" s="35"/>
      <c r="N871" s="46"/>
      <c r="O871" s="46"/>
      <c r="S871" s="26"/>
      <c r="T871" s="26"/>
      <c r="U871" s="26"/>
      <c r="V871" s="26"/>
      <c r="W871" s="26"/>
      <c r="X871" s="26"/>
      <c r="Y871" s="26"/>
      <c r="Z871" s="26"/>
      <c r="AA871" s="26"/>
      <c r="AB871" s="26"/>
      <c r="AC871" s="26"/>
      <c r="AD871" s="26"/>
      <c r="AE871" s="26"/>
      <c r="AF871" s="26"/>
      <c r="AG871" s="26"/>
      <c r="AH871" s="26"/>
      <c r="AI871" s="26"/>
      <c r="AJ871" s="26"/>
      <c r="AK871" s="26"/>
      <c r="AL871" s="26"/>
      <c r="AM871" s="26"/>
      <c r="AN871" s="26"/>
      <c r="AO871" s="26"/>
      <c r="AP871" s="26"/>
      <c r="AQ871" s="26"/>
      <c r="AR871" s="26"/>
      <c r="AS871" s="26"/>
      <c r="AT871" s="26"/>
      <c r="AU871" s="26"/>
      <c r="AV871" s="26"/>
      <c r="AW871" s="26"/>
      <c r="AX871" s="26"/>
      <c r="AY871" s="26"/>
    </row>
    <row r="872" spans="2:51">
      <c r="B872" s="32" t="s">
        <v>180</v>
      </c>
      <c r="C872" s="12" t="e">
        <f>#REF!+#REF!</f>
        <v>#REF!</v>
      </c>
      <c r="D872" s="12"/>
      <c r="E872" s="12"/>
      <c r="F872" s="12"/>
      <c r="G872" s="12"/>
      <c r="H872" s="12"/>
      <c r="I872" s="73"/>
      <c r="J872" s="73"/>
      <c r="K872" s="12"/>
      <c r="L872" s="35"/>
      <c r="N872" s="46"/>
      <c r="O872" s="46"/>
      <c r="S872" s="26"/>
      <c r="T872" s="26"/>
      <c r="U872" s="26"/>
      <c r="V872" s="26"/>
      <c r="W872" s="26"/>
      <c r="X872" s="26"/>
      <c r="Y872" s="26"/>
      <c r="Z872" s="26"/>
      <c r="AA872" s="26"/>
      <c r="AB872" s="26"/>
      <c r="AC872" s="26"/>
      <c r="AD872" s="26"/>
      <c r="AE872" s="26"/>
      <c r="AF872" s="26"/>
      <c r="AG872" s="26"/>
      <c r="AH872" s="26"/>
      <c r="AI872" s="26"/>
      <c r="AJ872" s="26"/>
      <c r="AK872" s="26"/>
      <c r="AL872" s="26"/>
      <c r="AM872" s="26"/>
      <c r="AN872" s="26"/>
      <c r="AO872" s="26"/>
      <c r="AP872" s="26"/>
      <c r="AQ872" s="26"/>
      <c r="AR872" s="26"/>
      <c r="AS872" s="26"/>
      <c r="AT872" s="26"/>
      <c r="AU872" s="26"/>
      <c r="AV872" s="26"/>
      <c r="AW872" s="26"/>
      <c r="AX872" s="26"/>
      <c r="AY872" s="26"/>
    </row>
    <row r="873" spans="2:51">
      <c r="B873" s="55" t="s">
        <v>147</v>
      </c>
      <c r="C873" s="56" t="e">
        <f t="shared" ref="C873:K873" si="15">SUM(C859:C872)</f>
        <v>#REF!</v>
      </c>
      <c r="D873" s="56" t="e">
        <f t="shared" si="15"/>
        <v>#REF!</v>
      </c>
      <c r="E873" s="56" t="e">
        <f t="shared" si="15"/>
        <v>#REF!</v>
      </c>
      <c r="F873" s="56" t="e">
        <f t="shared" si="15"/>
        <v>#REF!</v>
      </c>
      <c r="G873" s="56" t="e">
        <f t="shared" si="15"/>
        <v>#REF!</v>
      </c>
      <c r="H873" s="56" t="e">
        <f t="shared" si="15"/>
        <v>#REF!</v>
      </c>
      <c r="I873" s="74" t="e">
        <f t="shared" si="15"/>
        <v>#REF!</v>
      </c>
      <c r="J873" s="74" t="e">
        <f t="shared" si="15"/>
        <v>#REF!</v>
      </c>
      <c r="K873" s="56" t="e">
        <f t="shared" si="15"/>
        <v>#REF!</v>
      </c>
      <c r="L873" s="80"/>
      <c r="M873" s="81"/>
      <c r="N873" s="50"/>
      <c r="O873" s="50"/>
      <c r="S873" s="26"/>
      <c r="T873" s="26"/>
      <c r="U873" s="26"/>
      <c r="V873" s="26"/>
      <c r="W873" s="26"/>
      <c r="X873" s="26"/>
      <c r="Y873" s="26"/>
      <c r="Z873" s="26"/>
      <c r="AA873" s="26"/>
      <c r="AB873" s="26"/>
      <c r="AC873" s="26"/>
      <c r="AD873" s="26"/>
      <c r="AE873" s="26"/>
      <c r="AF873" s="26"/>
      <c r="AG873" s="26"/>
      <c r="AH873" s="26"/>
      <c r="AI873" s="26"/>
      <c r="AJ873" s="26"/>
      <c r="AK873" s="26"/>
      <c r="AL873" s="26"/>
      <c r="AM873" s="26"/>
      <c r="AN873" s="26"/>
      <c r="AO873" s="26"/>
      <c r="AP873" s="26"/>
      <c r="AQ873" s="26"/>
      <c r="AR873" s="26"/>
      <c r="AS873" s="26"/>
      <c r="AT873" s="26"/>
      <c r="AU873" s="26"/>
      <c r="AV873" s="26"/>
      <c r="AW873" s="26"/>
      <c r="AX873" s="26"/>
      <c r="AY873" s="26"/>
    </row>
    <row r="874" spans="2:51">
      <c r="B874" s="31"/>
      <c r="C874" s="16"/>
      <c r="D874" s="16"/>
      <c r="E874" s="16"/>
      <c r="F874" s="16"/>
      <c r="G874" s="16"/>
      <c r="H874" s="16"/>
      <c r="I874" s="16"/>
      <c r="J874" s="16"/>
      <c r="K874" s="16"/>
      <c r="M874" s="102"/>
      <c r="S874" s="26"/>
      <c r="T874" s="26"/>
      <c r="U874" s="26"/>
      <c r="V874" s="26"/>
      <c r="W874" s="26"/>
      <c r="X874" s="26"/>
      <c r="Y874" s="26"/>
      <c r="Z874" s="26"/>
      <c r="AA874" s="26"/>
      <c r="AB874" s="26"/>
      <c r="AC874" s="26"/>
      <c r="AD874" s="26"/>
      <c r="AE874" s="26"/>
      <c r="AF874" s="26"/>
      <c r="AG874" s="26"/>
      <c r="AH874" s="26"/>
      <c r="AI874" s="26"/>
      <c r="AJ874" s="26"/>
      <c r="AK874" s="26"/>
      <c r="AL874" s="26"/>
      <c r="AM874" s="26"/>
      <c r="AN874" s="26"/>
      <c r="AO874" s="26"/>
      <c r="AP874" s="26"/>
      <c r="AQ874" s="26"/>
      <c r="AR874" s="26"/>
      <c r="AS874" s="26"/>
      <c r="AT874" s="26"/>
      <c r="AU874" s="26"/>
      <c r="AV874" s="26"/>
      <c r="AW874" s="26"/>
      <c r="AX874" s="26"/>
      <c r="AY874" s="26"/>
    </row>
    <row r="875" spans="2:51">
      <c r="B875" s="31"/>
      <c r="C875" s="102"/>
      <c r="D875" s="102"/>
      <c r="E875" s="102"/>
      <c r="F875" s="102"/>
      <c r="G875" s="102"/>
      <c r="H875" s="102"/>
      <c r="I875" s="102"/>
      <c r="J875" s="102"/>
      <c r="K875" s="102"/>
      <c r="S875" s="26"/>
      <c r="T875" s="26"/>
      <c r="U875" s="26"/>
      <c r="V875" s="26"/>
      <c r="W875" s="26"/>
      <c r="X875" s="26"/>
      <c r="Y875" s="26"/>
      <c r="Z875" s="26"/>
      <c r="AA875" s="26"/>
      <c r="AB875" s="26"/>
      <c r="AC875" s="26"/>
      <c r="AD875" s="26"/>
      <c r="AE875" s="26"/>
      <c r="AF875" s="26"/>
      <c r="AG875" s="26"/>
      <c r="AH875" s="26"/>
      <c r="AI875" s="26"/>
      <c r="AJ875" s="26"/>
      <c r="AK875" s="26"/>
      <c r="AL875" s="26"/>
      <c r="AM875" s="26"/>
      <c r="AN875" s="26"/>
      <c r="AO875" s="26"/>
      <c r="AP875" s="26"/>
      <c r="AQ875" s="26"/>
      <c r="AR875" s="26"/>
      <c r="AS875" s="26"/>
      <c r="AT875" s="26"/>
      <c r="AU875" s="26"/>
      <c r="AV875" s="26"/>
      <c r="AW875" s="26"/>
      <c r="AX875" s="26"/>
      <c r="AY875" s="26"/>
    </row>
    <row r="876" spans="2:51">
      <c r="B876" s="59" t="s">
        <v>233</v>
      </c>
      <c r="C876" s="50"/>
      <c r="D876" s="50"/>
      <c r="S876" s="26"/>
      <c r="T876" s="26"/>
      <c r="U876" s="26"/>
      <c r="V876" s="26"/>
      <c r="W876" s="26"/>
      <c r="X876" s="26"/>
      <c r="Y876" s="26"/>
      <c r="Z876" s="26"/>
      <c r="AA876" s="26"/>
      <c r="AB876" s="26"/>
      <c r="AC876" s="26"/>
      <c r="AD876" s="26"/>
      <c r="AE876" s="26"/>
      <c r="AF876" s="26"/>
      <c r="AG876" s="26"/>
      <c r="AH876" s="26"/>
      <c r="AI876" s="26"/>
      <c r="AJ876" s="26"/>
      <c r="AK876" s="26"/>
      <c r="AL876" s="26"/>
      <c r="AM876" s="26"/>
      <c r="AN876" s="26"/>
      <c r="AO876" s="26"/>
      <c r="AP876" s="26"/>
      <c r="AQ876" s="26"/>
      <c r="AR876" s="26"/>
      <c r="AS876" s="26"/>
      <c r="AT876" s="26"/>
      <c r="AU876" s="26"/>
      <c r="AV876" s="26"/>
      <c r="AW876" s="26"/>
      <c r="AX876" s="26"/>
      <c r="AY876" s="26"/>
    </row>
    <row r="877" spans="2:51">
      <c r="B877" s="59"/>
      <c r="C877" s="50"/>
      <c r="D877" s="50"/>
      <c r="S877" s="26"/>
      <c r="T877" s="26"/>
      <c r="U877" s="26"/>
      <c r="V877" s="26"/>
      <c r="W877" s="26"/>
      <c r="X877" s="26"/>
      <c r="Y877" s="26"/>
      <c r="Z877" s="26"/>
      <c r="AA877" s="26"/>
      <c r="AB877" s="26"/>
      <c r="AC877" s="26"/>
      <c r="AD877" s="26"/>
      <c r="AE877" s="26"/>
      <c r="AF877" s="26"/>
      <c r="AG877" s="26"/>
      <c r="AH877" s="26"/>
      <c r="AI877" s="26"/>
      <c r="AJ877" s="26"/>
      <c r="AK877" s="26"/>
      <c r="AL877" s="26"/>
      <c r="AM877" s="26"/>
      <c r="AN877" s="26"/>
      <c r="AO877" s="26"/>
      <c r="AP877" s="26"/>
      <c r="AQ877" s="26"/>
      <c r="AR877" s="26"/>
      <c r="AS877" s="26"/>
      <c r="AT877" s="26"/>
      <c r="AU877" s="26"/>
      <c r="AV877" s="26"/>
      <c r="AW877" s="26"/>
      <c r="AX877" s="26"/>
      <c r="AY877" s="26"/>
    </row>
    <row r="878" spans="2:51">
      <c r="B878" s="31"/>
      <c r="C878" s="50"/>
      <c r="D878" s="50"/>
      <c r="S878" s="26"/>
      <c r="T878" s="26"/>
      <c r="U878" s="26"/>
      <c r="V878" s="26"/>
      <c r="W878" s="26"/>
      <c r="X878" s="26"/>
      <c r="Y878" s="26"/>
      <c r="Z878" s="26"/>
      <c r="AA878" s="26"/>
      <c r="AB878" s="26"/>
      <c r="AC878" s="26"/>
      <c r="AD878" s="26"/>
      <c r="AE878" s="26"/>
      <c r="AF878" s="26"/>
      <c r="AG878" s="26"/>
      <c r="AH878" s="26"/>
      <c r="AI878" s="26"/>
      <c r="AJ878" s="26"/>
      <c r="AK878" s="26"/>
      <c r="AL878" s="26"/>
      <c r="AM878" s="26"/>
      <c r="AN878" s="26"/>
      <c r="AO878" s="26"/>
      <c r="AP878" s="26"/>
      <c r="AQ878" s="26"/>
      <c r="AR878" s="26"/>
      <c r="AS878" s="26"/>
      <c r="AT878" s="26"/>
      <c r="AU878" s="26"/>
      <c r="AV878" s="26"/>
      <c r="AW878" s="26"/>
      <c r="AX878" s="26"/>
      <c r="AY878" s="26"/>
    </row>
    <row r="879" spans="2:51">
      <c r="B879" s="31"/>
      <c r="C879" s="50"/>
      <c r="D879" s="50"/>
      <c r="S879" s="26"/>
      <c r="T879" s="26"/>
      <c r="U879" s="26"/>
      <c r="V879" s="26"/>
      <c r="W879" s="26"/>
      <c r="X879" s="26"/>
      <c r="Y879" s="26"/>
      <c r="Z879" s="26"/>
      <c r="AA879" s="26"/>
      <c r="AB879" s="26"/>
      <c r="AC879" s="26"/>
      <c r="AD879" s="26"/>
      <c r="AE879" s="26"/>
      <c r="AF879" s="26"/>
      <c r="AG879" s="26"/>
      <c r="AH879" s="26"/>
      <c r="AI879" s="26"/>
      <c r="AJ879" s="26"/>
      <c r="AK879" s="26"/>
      <c r="AL879" s="26"/>
      <c r="AM879" s="26"/>
      <c r="AN879" s="26"/>
      <c r="AO879" s="26"/>
      <c r="AP879" s="26"/>
      <c r="AQ879" s="26"/>
      <c r="AR879" s="26"/>
      <c r="AS879" s="26"/>
      <c r="AT879" s="26"/>
      <c r="AU879" s="26"/>
      <c r="AV879" s="26"/>
      <c r="AW879" s="26"/>
      <c r="AX879" s="26"/>
      <c r="AY879" s="26"/>
    </row>
    <row r="880" spans="2:51">
      <c r="B880" s="31"/>
      <c r="C880" s="50"/>
      <c r="D880" s="50"/>
      <c r="S880" s="26"/>
      <c r="T880" s="26"/>
      <c r="U880" s="26"/>
      <c r="V880" s="26"/>
      <c r="W880" s="26"/>
      <c r="X880" s="26"/>
      <c r="Y880" s="26"/>
      <c r="Z880" s="26"/>
      <c r="AA880" s="26"/>
      <c r="AB880" s="26"/>
      <c r="AC880" s="26"/>
      <c r="AD880" s="26"/>
      <c r="AE880" s="26"/>
      <c r="AF880" s="26"/>
      <c r="AG880" s="26"/>
      <c r="AH880" s="26"/>
      <c r="AI880" s="26"/>
      <c r="AJ880" s="26"/>
      <c r="AK880" s="26"/>
      <c r="AL880" s="26"/>
      <c r="AM880" s="26"/>
      <c r="AN880" s="26"/>
      <c r="AO880" s="26"/>
      <c r="AP880" s="26"/>
      <c r="AQ880" s="26"/>
      <c r="AR880" s="26"/>
      <c r="AS880" s="26"/>
      <c r="AT880" s="26"/>
      <c r="AU880" s="26"/>
      <c r="AV880" s="26"/>
      <c r="AW880" s="26"/>
      <c r="AX880" s="26"/>
      <c r="AY880" s="26"/>
    </row>
    <row r="881" spans="2:51">
      <c r="B881" s="31"/>
      <c r="C881" s="50"/>
      <c r="D881" s="50"/>
      <c r="S881" s="26"/>
      <c r="T881" s="26"/>
      <c r="U881" s="26"/>
      <c r="V881" s="26"/>
      <c r="W881" s="26"/>
      <c r="X881" s="26"/>
      <c r="Y881" s="26"/>
      <c r="Z881" s="26"/>
      <c r="AA881" s="26"/>
      <c r="AB881" s="26"/>
      <c r="AC881" s="26"/>
      <c r="AD881" s="26"/>
      <c r="AE881" s="26"/>
      <c r="AF881" s="26"/>
      <c r="AG881" s="26"/>
      <c r="AH881" s="26"/>
      <c r="AI881" s="26"/>
      <c r="AJ881" s="26"/>
      <c r="AK881" s="26"/>
      <c r="AL881" s="26"/>
      <c r="AM881" s="26"/>
      <c r="AN881" s="26"/>
      <c r="AO881" s="26"/>
      <c r="AP881" s="26"/>
      <c r="AQ881" s="26"/>
      <c r="AR881" s="26"/>
      <c r="AS881" s="26"/>
      <c r="AT881" s="26"/>
      <c r="AU881" s="26"/>
      <c r="AV881" s="26"/>
      <c r="AW881" s="26"/>
      <c r="AX881" s="26"/>
      <c r="AY881" s="26"/>
    </row>
    <row r="882" spans="2:51">
      <c r="B882" s="31"/>
      <c r="C882" s="50"/>
      <c r="D882" s="50"/>
      <c r="S882" s="26"/>
      <c r="T882" s="26"/>
      <c r="U882" s="26"/>
      <c r="V882" s="26"/>
      <c r="W882" s="26"/>
      <c r="X882" s="26"/>
      <c r="Y882" s="26"/>
      <c r="Z882" s="26"/>
      <c r="AA882" s="26"/>
      <c r="AB882" s="26"/>
      <c r="AC882" s="26"/>
      <c r="AD882" s="26"/>
      <c r="AE882" s="26"/>
      <c r="AF882" s="26"/>
      <c r="AG882" s="26"/>
      <c r="AH882" s="26"/>
      <c r="AI882" s="26"/>
      <c r="AJ882" s="26"/>
      <c r="AK882" s="26"/>
      <c r="AL882" s="26"/>
      <c r="AM882" s="26"/>
      <c r="AN882" s="26"/>
      <c r="AO882" s="26"/>
      <c r="AP882" s="26"/>
      <c r="AQ882" s="26"/>
      <c r="AR882" s="26"/>
      <c r="AS882" s="26"/>
      <c r="AT882" s="26"/>
      <c r="AU882" s="26"/>
      <c r="AV882" s="26"/>
      <c r="AW882" s="26"/>
      <c r="AX882" s="26"/>
      <c r="AY882" s="26"/>
    </row>
    <row r="883" spans="2:51">
      <c r="B883" s="31"/>
      <c r="C883" s="50"/>
      <c r="D883" s="50"/>
      <c r="S883" s="26"/>
      <c r="T883" s="26"/>
      <c r="U883" s="26"/>
      <c r="V883" s="26"/>
      <c r="W883" s="26"/>
      <c r="X883" s="26"/>
      <c r="Y883" s="26"/>
      <c r="Z883" s="26"/>
      <c r="AA883" s="26"/>
      <c r="AB883" s="26"/>
      <c r="AC883" s="26"/>
      <c r="AD883" s="26"/>
      <c r="AE883" s="26"/>
      <c r="AF883" s="26"/>
      <c r="AG883" s="26"/>
      <c r="AH883" s="26"/>
      <c r="AI883" s="26"/>
      <c r="AJ883" s="26"/>
      <c r="AK883" s="26"/>
      <c r="AL883" s="26"/>
      <c r="AM883" s="26"/>
      <c r="AN883" s="26"/>
      <c r="AO883" s="26"/>
      <c r="AP883" s="26"/>
      <c r="AQ883" s="26"/>
      <c r="AR883" s="26"/>
      <c r="AS883" s="26"/>
      <c r="AT883" s="26"/>
      <c r="AU883" s="26"/>
      <c r="AV883" s="26"/>
      <c r="AW883" s="26"/>
      <c r="AX883" s="26"/>
      <c r="AY883" s="26"/>
    </row>
    <row r="884" spans="2:51">
      <c r="B884" s="31"/>
      <c r="C884" s="50"/>
      <c r="D884" s="50"/>
      <c r="S884" s="26"/>
      <c r="T884" s="26"/>
      <c r="U884" s="26"/>
      <c r="V884" s="26"/>
      <c r="W884" s="26"/>
      <c r="X884" s="26"/>
      <c r="Y884" s="26"/>
      <c r="Z884" s="26"/>
      <c r="AA884" s="26"/>
      <c r="AB884" s="26"/>
      <c r="AC884" s="26"/>
      <c r="AD884" s="26"/>
      <c r="AE884" s="26"/>
      <c r="AF884" s="26"/>
      <c r="AG884" s="26"/>
      <c r="AH884" s="26"/>
      <c r="AI884" s="26"/>
      <c r="AJ884" s="26"/>
      <c r="AK884" s="26"/>
      <c r="AL884" s="26"/>
      <c r="AM884" s="26"/>
      <c r="AN884" s="26"/>
      <c r="AO884" s="26"/>
      <c r="AP884" s="26"/>
      <c r="AQ884" s="26"/>
      <c r="AR884" s="26"/>
      <c r="AS884" s="26"/>
      <c r="AT884" s="26"/>
      <c r="AU884" s="26"/>
      <c r="AV884" s="26"/>
      <c r="AW884" s="26"/>
      <c r="AX884" s="26"/>
      <c r="AY884" s="26"/>
    </row>
    <row r="885" spans="2:51">
      <c r="B885" s="31"/>
      <c r="C885" s="50"/>
      <c r="D885" s="50"/>
      <c r="S885" s="26"/>
      <c r="T885" s="26"/>
      <c r="U885" s="26"/>
      <c r="V885" s="26"/>
      <c r="W885" s="26"/>
      <c r="X885" s="26"/>
      <c r="Y885" s="26"/>
      <c r="Z885" s="26"/>
      <c r="AA885" s="26"/>
      <c r="AB885" s="26"/>
      <c r="AC885" s="26"/>
      <c r="AD885" s="26"/>
      <c r="AE885" s="26"/>
      <c r="AF885" s="26"/>
      <c r="AG885" s="26"/>
      <c r="AH885" s="26"/>
      <c r="AI885" s="26"/>
      <c r="AJ885" s="26"/>
      <c r="AK885" s="26"/>
      <c r="AL885" s="26"/>
      <c r="AM885" s="26"/>
      <c r="AN885" s="26"/>
      <c r="AO885" s="26"/>
      <c r="AP885" s="26"/>
      <c r="AQ885" s="26"/>
      <c r="AR885" s="26"/>
      <c r="AS885" s="26"/>
      <c r="AT885" s="26"/>
      <c r="AU885" s="26"/>
      <c r="AV885" s="26"/>
      <c r="AW885" s="26"/>
      <c r="AX885" s="26"/>
      <c r="AY885" s="26"/>
    </row>
    <row r="886" spans="2:51">
      <c r="B886" s="31"/>
      <c r="C886" s="50"/>
      <c r="D886" s="50"/>
      <c r="S886" s="26"/>
      <c r="T886" s="26"/>
      <c r="U886" s="26"/>
      <c r="V886" s="26"/>
      <c r="W886" s="26"/>
      <c r="X886" s="26"/>
      <c r="Y886" s="26"/>
      <c r="Z886" s="26"/>
      <c r="AA886" s="26"/>
      <c r="AB886" s="26"/>
      <c r="AC886" s="26"/>
      <c r="AD886" s="26"/>
      <c r="AE886" s="26"/>
      <c r="AF886" s="26"/>
      <c r="AG886" s="26"/>
      <c r="AH886" s="26"/>
      <c r="AI886" s="26"/>
      <c r="AJ886" s="26"/>
      <c r="AK886" s="26"/>
      <c r="AL886" s="26"/>
      <c r="AM886" s="26"/>
      <c r="AN886" s="26"/>
      <c r="AO886" s="26"/>
      <c r="AP886" s="26"/>
      <c r="AQ886" s="26"/>
      <c r="AR886" s="26"/>
      <c r="AS886" s="26"/>
      <c r="AT886" s="26"/>
      <c r="AU886" s="26"/>
      <c r="AV886" s="26"/>
      <c r="AW886" s="26"/>
      <c r="AX886" s="26"/>
      <c r="AY886" s="26"/>
    </row>
    <row r="887" spans="2:51">
      <c r="B887" s="31"/>
      <c r="C887" s="50"/>
      <c r="D887" s="50"/>
      <c r="S887" s="26"/>
      <c r="T887" s="26"/>
      <c r="U887" s="26"/>
      <c r="V887" s="26"/>
      <c r="W887" s="26"/>
      <c r="X887" s="26"/>
      <c r="Y887" s="26"/>
      <c r="Z887" s="26"/>
      <c r="AA887" s="26"/>
      <c r="AB887" s="26"/>
      <c r="AC887" s="26"/>
      <c r="AD887" s="26"/>
      <c r="AE887" s="26"/>
      <c r="AF887" s="26"/>
      <c r="AG887" s="26"/>
      <c r="AH887" s="26"/>
      <c r="AI887" s="26"/>
      <c r="AJ887" s="26"/>
      <c r="AK887" s="26"/>
      <c r="AL887" s="26"/>
      <c r="AM887" s="26"/>
      <c r="AN887" s="26"/>
      <c r="AO887" s="26"/>
      <c r="AP887" s="26"/>
      <c r="AQ887" s="26"/>
      <c r="AR887" s="26"/>
      <c r="AS887" s="26"/>
      <c r="AT887" s="26"/>
      <c r="AU887" s="26"/>
      <c r="AV887" s="26"/>
      <c r="AW887" s="26"/>
      <c r="AX887" s="26"/>
      <c r="AY887" s="26"/>
    </row>
    <row r="888" spans="2:51">
      <c r="B888" s="31"/>
      <c r="C888" s="50"/>
      <c r="D888" s="50"/>
      <c r="S888" s="26"/>
      <c r="T888" s="26"/>
      <c r="U888" s="26"/>
      <c r="V888" s="26"/>
      <c r="W888" s="26"/>
      <c r="X888" s="26"/>
      <c r="Y888" s="26"/>
      <c r="Z888" s="26"/>
      <c r="AA888" s="26"/>
      <c r="AB888" s="26"/>
      <c r="AC888" s="26"/>
      <c r="AD888" s="26"/>
      <c r="AE888" s="26"/>
      <c r="AF888" s="26"/>
      <c r="AG888" s="26"/>
      <c r="AH888" s="26"/>
      <c r="AI888" s="26"/>
      <c r="AJ888" s="26"/>
      <c r="AK888" s="26"/>
      <c r="AL888" s="26"/>
      <c r="AM888" s="26"/>
      <c r="AN888" s="26"/>
      <c r="AO888" s="26"/>
      <c r="AP888" s="26"/>
      <c r="AQ888" s="26"/>
      <c r="AR888" s="26"/>
      <c r="AS888" s="26"/>
      <c r="AT888" s="26"/>
      <c r="AU888" s="26"/>
      <c r="AV888" s="26"/>
      <c r="AW888" s="26"/>
      <c r="AX888" s="26"/>
      <c r="AY888" s="26"/>
    </row>
    <row r="889" spans="2:51">
      <c r="B889" s="31"/>
      <c r="C889" s="50"/>
      <c r="D889" s="50"/>
      <c r="S889" s="26"/>
      <c r="T889" s="26"/>
      <c r="U889" s="26"/>
      <c r="V889" s="26"/>
      <c r="W889" s="26"/>
      <c r="X889" s="26"/>
      <c r="Y889" s="26"/>
      <c r="Z889" s="26"/>
      <c r="AA889" s="26"/>
      <c r="AB889" s="26"/>
      <c r="AC889" s="26"/>
      <c r="AD889" s="26"/>
      <c r="AE889" s="26"/>
      <c r="AF889" s="26"/>
      <c r="AG889" s="26"/>
      <c r="AH889" s="26"/>
      <c r="AI889" s="26"/>
      <c r="AJ889" s="26"/>
      <c r="AK889" s="26"/>
      <c r="AL889" s="26"/>
      <c r="AM889" s="26"/>
      <c r="AN889" s="26"/>
      <c r="AO889" s="26"/>
      <c r="AP889" s="26"/>
      <c r="AQ889" s="26"/>
      <c r="AR889" s="26"/>
      <c r="AS889" s="26"/>
      <c r="AT889" s="26"/>
      <c r="AU889" s="26"/>
      <c r="AV889" s="26"/>
      <c r="AW889" s="26"/>
      <c r="AX889" s="26"/>
      <c r="AY889" s="26"/>
    </row>
    <row r="890" spans="2:51">
      <c r="B890" s="31"/>
      <c r="C890" s="50"/>
      <c r="D890" s="50"/>
      <c r="S890" s="26"/>
      <c r="T890" s="26"/>
      <c r="U890" s="26"/>
      <c r="V890" s="26"/>
      <c r="W890" s="26"/>
      <c r="X890" s="26"/>
      <c r="Y890" s="26"/>
      <c r="Z890" s="26"/>
      <c r="AA890" s="26"/>
      <c r="AB890" s="26"/>
      <c r="AC890" s="26"/>
      <c r="AD890" s="26"/>
      <c r="AE890" s="26"/>
      <c r="AF890" s="26"/>
      <c r="AG890" s="26"/>
      <c r="AH890" s="26"/>
      <c r="AI890" s="26"/>
      <c r="AJ890" s="26"/>
      <c r="AK890" s="26"/>
      <c r="AL890" s="26"/>
      <c r="AM890" s="26"/>
      <c r="AN890" s="26"/>
      <c r="AO890" s="26"/>
      <c r="AP890" s="26"/>
      <c r="AQ890" s="26"/>
      <c r="AR890" s="26"/>
      <c r="AS890" s="26"/>
      <c r="AT890" s="26"/>
      <c r="AU890" s="26"/>
      <c r="AV890" s="26"/>
      <c r="AW890" s="26"/>
      <c r="AX890" s="26"/>
      <c r="AY890" s="26"/>
    </row>
    <row r="891" spans="2:51">
      <c r="B891" s="31"/>
      <c r="C891" s="50"/>
      <c r="D891" s="50"/>
      <c r="S891" s="26"/>
      <c r="T891" s="26"/>
      <c r="U891" s="26"/>
      <c r="V891" s="26"/>
      <c r="W891" s="26"/>
      <c r="X891" s="26"/>
      <c r="Y891" s="26"/>
      <c r="Z891" s="26"/>
      <c r="AA891" s="26"/>
      <c r="AB891" s="26"/>
      <c r="AC891" s="26"/>
      <c r="AD891" s="26"/>
      <c r="AE891" s="26"/>
      <c r="AF891" s="26"/>
      <c r="AG891" s="26"/>
      <c r="AH891" s="26"/>
      <c r="AI891" s="26"/>
      <c r="AJ891" s="26"/>
      <c r="AK891" s="26"/>
      <c r="AL891" s="26"/>
      <c r="AM891" s="26"/>
      <c r="AN891" s="26"/>
      <c r="AO891" s="26"/>
      <c r="AP891" s="26"/>
      <c r="AQ891" s="26"/>
      <c r="AR891" s="26"/>
      <c r="AS891" s="26"/>
      <c r="AT891" s="26"/>
      <c r="AU891" s="26"/>
      <c r="AV891" s="26"/>
      <c r="AW891" s="26"/>
      <c r="AX891" s="26"/>
      <c r="AY891" s="26"/>
    </row>
    <row r="892" spans="2:51">
      <c r="B892" s="31"/>
      <c r="C892" s="50"/>
      <c r="D892" s="50"/>
      <c r="S892" s="26"/>
      <c r="T892" s="26"/>
      <c r="U892" s="26"/>
      <c r="V892" s="26"/>
      <c r="W892" s="26"/>
      <c r="X892" s="26"/>
      <c r="Y892" s="26"/>
      <c r="Z892" s="26"/>
      <c r="AA892" s="26"/>
      <c r="AB892" s="26"/>
      <c r="AC892" s="26"/>
      <c r="AD892" s="26"/>
      <c r="AE892" s="26"/>
      <c r="AF892" s="26"/>
      <c r="AG892" s="26"/>
      <c r="AH892" s="26"/>
      <c r="AI892" s="26"/>
      <c r="AJ892" s="26"/>
      <c r="AK892" s="26"/>
      <c r="AL892" s="26"/>
      <c r="AM892" s="26"/>
      <c r="AN892" s="26"/>
      <c r="AO892" s="26"/>
      <c r="AP892" s="26"/>
      <c r="AQ892" s="26"/>
      <c r="AR892" s="26"/>
      <c r="AS892" s="26"/>
      <c r="AT892" s="26"/>
      <c r="AU892" s="26"/>
      <c r="AV892" s="26"/>
      <c r="AW892" s="26"/>
      <c r="AX892" s="26"/>
      <c r="AY892" s="26"/>
    </row>
    <row r="893" spans="2:51">
      <c r="B893" s="31"/>
      <c r="C893" s="50"/>
      <c r="D893" s="50"/>
      <c r="S893" s="26"/>
      <c r="T893" s="26"/>
      <c r="U893" s="26"/>
      <c r="V893" s="26"/>
      <c r="W893" s="26"/>
      <c r="X893" s="26"/>
      <c r="Y893" s="26"/>
      <c r="Z893" s="26"/>
      <c r="AA893" s="26"/>
      <c r="AB893" s="26"/>
      <c r="AC893" s="26"/>
      <c r="AD893" s="26"/>
      <c r="AE893" s="26"/>
      <c r="AF893" s="26"/>
      <c r="AG893" s="26"/>
      <c r="AH893" s="26"/>
      <c r="AI893" s="26"/>
      <c r="AJ893" s="26"/>
      <c r="AK893" s="26"/>
      <c r="AL893" s="26"/>
      <c r="AM893" s="26"/>
      <c r="AN893" s="26"/>
      <c r="AO893" s="26"/>
      <c r="AP893" s="26"/>
      <c r="AQ893" s="26"/>
      <c r="AR893" s="26"/>
      <c r="AS893" s="26"/>
      <c r="AT893" s="26"/>
      <c r="AU893" s="26"/>
      <c r="AV893" s="26"/>
      <c r="AW893" s="26"/>
      <c r="AX893" s="26"/>
      <c r="AY893" s="26"/>
    </row>
    <row r="894" spans="2:51">
      <c r="B894" s="31"/>
      <c r="C894" s="50"/>
      <c r="D894" s="50"/>
      <c r="S894" s="38"/>
      <c r="T894" s="26"/>
      <c r="U894" s="26"/>
      <c r="V894" s="26"/>
      <c r="W894" s="26"/>
      <c r="X894" s="26"/>
      <c r="Y894" s="26"/>
      <c r="Z894" s="26"/>
      <c r="AA894" s="26"/>
      <c r="AB894" s="26"/>
      <c r="AC894" s="26"/>
      <c r="AD894" s="26"/>
      <c r="AE894" s="26"/>
      <c r="AF894" s="26"/>
      <c r="AG894" s="26"/>
      <c r="AH894" s="26"/>
      <c r="AI894" s="26"/>
      <c r="AJ894" s="26"/>
      <c r="AK894" s="26"/>
      <c r="AL894" s="26"/>
      <c r="AM894" s="26"/>
      <c r="AN894" s="26"/>
      <c r="AO894" s="26"/>
      <c r="AP894" s="26"/>
      <c r="AQ894" s="26"/>
      <c r="AR894" s="26"/>
      <c r="AS894" s="26"/>
      <c r="AT894" s="26"/>
      <c r="AU894" s="26"/>
      <c r="AV894" s="26"/>
      <c r="AW894" s="26"/>
      <c r="AX894" s="26"/>
      <c r="AY894" s="26"/>
    </row>
    <row r="895" spans="2:51">
      <c r="B895" s="31"/>
      <c r="C895" s="50"/>
      <c r="D895" s="50"/>
      <c r="S895" s="26"/>
      <c r="T895" s="26"/>
      <c r="U895" s="26"/>
      <c r="V895" s="26"/>
      <c r="W895" s="26"/>
      <c r="X895" s="26"/>
      <c r="Y895" s="26"/>
      <c r="Z895" s="26"/>
      <c r="AA895" s="26"/>
      <c r="AB895" s="26"/>
      <c r="AC895" s="26"/>
      <c r="AD895" s="26"/>
      <c r="AE895" s="26"/>
      <c r="AF895" s="26"/>
      <c r="AG895" s="26"/>
      <c r="AH895" s="26"/>
      <c r="AI895" s="26"/>
      <c r="AJ895" s="26"/>
      <c r="AK895" s="26"/>
      <c r="AL895" s="26"/>
      <c r="AM895" s="26"/>
      <c r="AN895" s="26"/>
      <c r="AO895" s="26"/>
      <c r="AP895" s="26"/>
      <c r="AQ895" s="26"/>
      <c r="AR895" s="26"/>
      <c r="AS895" s="26"/>
      <c r="AT895" s="26"/>
      <c r="AU895" s="26"/>
      <c r="AV895" s="26"/>
      <c r="AW895" s="26"/>
      <c r="AX895" s="26"/>
      <c r="AY895" s="26"/>
    </row>
    <row r="896" spans="2:51">
      <c r="B896" s="31"/>
      <c r="C896" s="50"/>
      <c r="D896" s="50"/>
      <c r="S896" s="26"/>
      <c r="T896" s="26"/>
      <c r="U896" s="26"/>
      <c r="V896" s="26"/>
      <c r="W896" s="26"/>
      <c r="X896" s="26"/>
      <c r="Y896" s="26"/>
      <c r="Z896" s="26"/>
      <c r="AA896" s="26"/>
      <c r="AB896" s="26"/>
      <c r="AC896" s="26"/>
      <c r="AD896" s="26"/>
      <c r="AE896" s="26"/>
      <c r="AF896" s="26"/>
      <c r="AG896" s="26"/>
      <c r="AH896" s="26"/>
      <c r="AI896" s="26"/>
      <c r="AJ896" s="26"/>
      <c r="AK896" s="26"/>
      <c r="AL896" s="26"/>
      <c r="AM896" s="26"/>
      <c r="AN896" s="26"/>
      <c r="AO896" s="26"/>
      <c r="AP896" s="26"/>
      <c r="AQ896" s="26"/>
      <c r="AR896" s="26"/>
      <c r="AS896" s="26"/>
      <c r="AT896" s="26"/>
      <c r="AU896" s="26"/>
      <c r="AV896" s="26"/>
      <c r="AW896" s="26"/>
      <c r="AX896" s="26"/>
      <c r="AY896" s="26"/>
    </row>
    <row r="897" spans="2:51">
      <c r="B897" s="31"/>
      <c r="C897" s="50"/>
      <c r="D897" s="50"/>
      <c r="S897" s="26"/>
      <c r="T897" s="26"/>
      <c r="U897" s="26"/>
      <c r="V897" s="26"/>
      <c r="W897" s="26"/>
      <c r="X897" s="26"/>
      <c r="Y897" s="26"/>
      <c r="Z897" s="26"/>
      <c r="AA897" s="26"/>
      <c r="AB897" s="26"/>
      <c r="AC897" s="26"/>
      <c r="AD897" s="26"/>
      <c r="AE897" s="26"/>
      <c r="AF897" s="26"/>
      <c r="AG897" s="26"/>
      <c r="AH897" s="26"/>
      <c r="AI897" s="26"/>
      <c r="AJ897" s="26"/>
      <c r="AK897" s="26"/>
      <c r="AL897" s="26"/>
      <c r="AM897" s="26"/>
      <c r="AN897" s="26"/>
      <c r="AO897" s="26"/>
      <c r="AP897" s="26"/>
      <c r="AQ897" s="26"/>
      <c r="AR897" s="26"/>
      <c r="AS897" s="26"/>
      <c r="AT897" s="26"/>
      <c r="AU897" s="26"/>
      <c r="AV897" s="26"/>
      <c r="AW897" s="26"/>
      <c r="AX897" s="26"/>
      <c r="AY897" s="26"/>
    </row>
    <row r="898" spans="2:51">
      <c r="C898" s="50"/>
      <c r="D898" s="50"/>
      <c r="S898" s="26"/>
      <c r="T898" s="26"/>
      <c r="U898" s="26"/>
      <c r="V898" s="26"/>
      <c r="W898" s="26"/>
      <c r="X898" s="26"/>
      <c r="Y898" s="26"/>
      <c r="Z898" s="26"/>
      <c r="AA898" s="26"/>
      <c r="AB898" s="26"/>
      <c r="AC898" s="26"/>
      <c r="AD898" s="26"/>
      <c r="AE898" s="26"/>
      <c r="AF898" s="26"/>
      <c r="AG898" s="26"/>
      <c r="AH898" s="26"/>
      <c r="AI898" s="26"/>
      <c r="AJ898" s="26"/>
      <c r="AK898" s="26"/>
      <c r="AL898" s="26"/>
      <c r="AM898" s="26"/>
      <c r="AN898" s="26"/>
      <c r="AO898" s="26"/>
      <c r="AP898" s="26"/>
      <c r="AQ898" s="26"/>
      <c r="AR898" s="26"/>
      <c r="AS898" s="26"/>
      <c r="AT898" s="26"/>
      <c r="AU898" s="26"/>
      <c r="AV898" s="26"/>
      <c r="AW898" s="26"/>
      <c r="AX898" s="26"/>
      <c r="AY898" s="26"/>
    </row>
    <row r="899" spans="2:51">
      <c r="C899" s="50"/>
      <c r="D899" s="50"/>
      <c r="S899" s="26"/>
      <c r="T899" s="26"/>
      <c r="U899" s="26"/>
      <c r="V899" s="26"/>
      <c r="W899" s="26"/>
      <c r="X899" s="26"/>
      <c r="Y899" s="26"/>
      <c r="Z899" s="26"/>
      <c r="AA899" s="26"/>
      <c r="AB899" s="26"/>
      <c r="AC899" s="26"/>
      <c r="AD899" s="26"/>
      <c r="AE899" s="26"/>
      <c r="AF899" s="26"/>
      <c r="AG899" s="26"/>
      <c r="AH899" s="26"/>
      <c r="AI899" s="26"/>
      <c r="AJ899" s="26"/>
      <c r="AK899" s="26"/>
      <c r="AL899" s="26"/>
      <c r="AM899" s="26"/>
      <c r="AN899" s="26"/>
      <c r="AO899" s="26"/>
      <c r="AP899" s="26"/>
      <c r="AQ899" s="26"/>
      <c r="AR899" s="26"/>
      <c r="AS899" s="26"/>
      <c r="AT899" s="26"/>
      <c r="AU899" s="26"/>
      <c r="AV899" s="26"/>
      <c r="AW899" s="26"/>
      <c r="AX899" s="26"/>
      <c r="AY899" s="26"/>
    </row>
    <row r="900" spans="2:51">
      <c r="B900" s="31"/>
      <c r="C900" s="50"/>
      <c r="D900" s="50"/>
      <c r="S900" s="26"/>
      <c r="T900" s="26"/>
      <c r="U900" s="26"/>
      <c r="V900" s="26"/>
      <c r="W900" s="26"/>
      <c r="X900" s="26"/>
      <c r="Y900" s="26"/>
      <c r="Z900" s="26"/>
      <c r="AA900" s="26"/>
      <c r="AB900" s="26"/>
      <c r="AC900" s="26"/>
      <c r="AD900" s="26"/>
      <c r="AE900" s="26"/>
      <c r="AF900" s="26"/>
      <c r="AG900" s="26"/>
      <c r="AH900" s="26"/>
      <c r="AI900" s="26"/>
      <c r="AJ900" s="26"/>
      <c r="AK900" s="26"/>
      <c r="AL900" s="26"/>
      <c r="AM900" s="26"/>
      <c r="AN900" s="26"/>
      <c r="AO900" s="26"/>
      <c r="AP900" s="26"/>
      <c r="AQ900" s="26"/>
      <c r="AR900" s="26"/>
      <c r="AS900" s="26"/>
      <c r="AT900" s="26"/>
      <c r="AU900" s="26"/>
      <c r="AV900" s="26"/>
      <c r="AW900" s="26"/>
      <c r="AX900" s="26"/>
      <c r="AY900" s="26"/>
    </row>
    <row r="901" spans="2:51">
      <c r="C901" s="50"/>
      <c r="D901" s="50"/>
      <c r="S901" s="26"/>
      <c r="T901" s="26"/>
      <c r="U901" s="26"/>
      <c r="V901" s="26"/>
      <c r="W901" s="26"/>
      <c r="X901" s="26"/>
      <c r="Y901" s="26"/>
      <c r="Z901" s="26"/>
      <c r="AA901" s="26"/>
      <c r="AB901" s="26"/>
      <c r="AC901" s="26"/>
      <c r="AD901" s="26"/>
      <c r="AE901" s="26"/>
      <c r="AF901" s="26"/>
      <c r="AG901" s="26"/>
      <c r="AH901" s="26"/>
      <c r="AI901" s="26"/>
      <c r="AJ901" s="26"/>
      <c r="AK901" s="26"/>
      <c r="AL901" s="26"/>
      <c r="AM901" s="26"/>
      <c r="AN901" s="26"/>
      <c r="AO901" s="26"/>
      <c r="AP901" s="26"/>
      <c r="AQ901" s="26"/>
      <c r="AR901" s="26"/>
      <c r="AS901" s="26"/>
      <c r="AT901" s="26"/>
      <c r="AU901" s="26"/>
      <c r="AV901" s="26"/>
      <c r="AW901" s="26"/>
      <c r="AX901" s="26"/>
      <c r="AY901" s="26"/>
    </row>
    <row r="902" spans="2:51">
      <c r="B902" s="31"/>
      <c r="C902" s="50"/>
      <c r="D902" s="50"/>
      <c r="S902" s="26"/>
      <c r="T902" s="26"/>
      <c r="U902" s="26"/>
      <c r="V902" s="26"/>
      <c r="W902" s="26"/>
      <c r="X902" s="26"/>
      <c r="Y902" s="26"/>
      <c r="Z902" s="26"/>
      <c r="AA902" s="26"/>
      <c r="AB902" s="26"/>
      <c r="AC902" s="26"/>
      <c r="AD902" s="26"/>
      <c r="AE902" s="26"/>
      <c r="AF902" s="26"/>
      <c r="AG902" s="26"/>
      <c r="AH902" s="26"/>
      <c r="AI902" s="26"/>
      <c r="AJ902" s="26"/>
      <c r="AK902" s="26"/>
      <c r="AL902" s="26"/>
      <c r="AM902" s="26"/>
      <c r="AN902" s="26"/>
      <c r="AO902" s="26"/>
      <c r="AP902" s="26"/>
      <c r="AQ902" s="26"/>
      <c r="AR902" s="26"/>
      <c r="AS902" s="26"/>
      <c r="AT902" s="26"/>
      <c r="AU902" s="26"/>
      <c r="AV902" s="26"/>
      <c r="AW902" s="26"/>
      <c r="AX902" s="26"/>
      <c r="AY902" s="26"/>
    </row>
    <row r="903" spans="2:51">
      <c r="B903" s="31"/>
      <c r="C903" s="50"/>
      <c r="D903" s="50"/>
      <c r="S903" s="26"/>
      <c r="T903" s="26"/>
      <c r="U903" s="26"/>
      <c r="V903" s="26"/>
      <c r="W903" s="26"/>
      <c r="X903" s="26"/>
      <c r="Y903" s="26"/>
      <c r="Z903" s="26"/>
      <c r="AA903" s="26"/>
      <c r="AB903" s="26"/>
      <c r="AC903" s="26"/>
      <c r="AD903" s="26"/>
      <c r="AE903" s="26"/>
      <c r="AF903" s="26"/>
      <c r="AG903" s="26"/>
      <c r="AH903" s="26"/>
      <c r="AI903" s="26"/>
      <c r="AJ903" s="26"/>
      <c r="AK903" s="26"/>
      <c r="AL903" s="26"/>
      <c r="AM903" s="26"/>
      <c r="AN903" s="26"/>
      <c r="AO903" s="26"/>
      <c r="AP903" s="26"/>
      <c r="AQ903" s="26"/>
      <c r="AR903" s="26"/>
      <c r="AS903" s="26"/>
      <c r="AT903" s="26"/>
      <c r="AU903" s="26"/>
      <c r="AV903" s="26"/>
      <c r="AW903" s="26"/>
      <c r="AX903" s="26"/>
      <c r="AY903" s="26"/>
    </row>
    <row r="904" spans="2:51">
      <c r="B904" s="31"/>
      <c r="C904" s="50"/>
      <c r="D904" s="50"/>
      <c r="S904" s="26"/>
      <c r="T904" s="26"/>
      <c r="U904" s="26"/>
      <c r="V904" s="26"/>
      <c r="W904" s="26"/>
      <c r="X904" s="26"/>
      <c r="Y904" s="26"/>
      <c r="Z904" s="26"/>
      <c r="AA904" s="26"/>
      <c r="AB904" s="26"/>
      <c r="AC904" s="26"/>
      <c r="AD904" s="26"/>
      <c r="AE904" s="26"/>
      <c r="AF904" s="26"/>
      <c r="AG904" s="26"/>
      <c r="AH904" s="26"/>
      <c r="AI904" s="26"/>
      <c r="AJ904" s="26"/>
      <c r="AK904" s="26"/>
      <c r="AL904" s="26"/>
      <c r="AM904" s="26"/>
      <c r="AN904" s="26"/>
      <c r="AO904" s="26"/>
      <c r="AP904" s="26"/>
      <c r="AQ904" s="26"/>
      <c r="AR904" s="26"/>
      <c r="AS904" s="26"/>
      <c r="AT904" s="26"/>
      <c r="AU904" s="26"/>
      <c r="AV904" s="26"/>
      <c r="AW904" s="26"/>
      <c r="AX904" s="26"/>
      <c r="AY904" s="26"/>
    </row>
    <row r="905" spans="2:51">
      <c r="S905" s="26"/>
      <c r="T905" s="26"/>
      <c r="U905" s="26"/>
      <c r="V905" s="26"/>
      <c r="W905" s="26"/>
      <c r="X905" s="26"/>
      <c r="Y905" s="26"/>
      <c r="Z905" s="26"/>
      <c r="AA905" s="26"/>
      <c r="AB905" s="26"/>
      <c r="AC905" s="26"/>
      <c r="AD905" s="26"/>
      <c r="AE905" s="26"/>
      <c r="AF905" s="26"/>
      <c r="AG905" s="26"/>
      <c r="AH905" s="26"/>
      <c r="AI905" s="26"/>
      <c r="AJ905" s="26"/>
      <c r="AK905" s="26"/>
      <c r="AL905" s="26"/>
      <c r="AM905" s="26"/>
      <c r="AN905" s="26"/>
      <c r="AO905" s="26"/>
      <c r="AP905" s="26"/>
      <c r="AQ905" s="26"/>
      <c r="AR905" s="26"/>
      <c r="AS905" s="26"/>
      <c r="AT905" s="26"/>
      <c r="AU905" s="26"/>
      <c r="AV905" s="26"/>
      <c r="AW905" s="26"/>
      <c r="AX905" s="26"/>
      <c r="AY905" s="26"/>
    </row>
    <row r="906" spans="2:51">
      <c r="B906" s="31"/>
      <c r="C906" s="50"/>
      <c r="D906" s="50"/>
      <c r="J906" s="35"/>
      <c r="K906" s="35"/>
      <c r="L906" s="35"/>
      <c r="M906" s="35"/>
      <c r="S906" s="26"/>
      <c r="T906" s="26"/>
      <c r="U906" s="26"/>
      <c r="V906" s="26"/>
      <c r="W906" s="26"/>
      <c r="X906" s="26"/>
      <c r="Y906" s="26"/>
      <c r="Z906" s="26"/>
      <c r="AA906" s="26"/>
      <c r="AB906" s="26"/>
      <c r="AC906" s="26"/>
      <c r="AD906" s="26"/>
      <c r="AE906" s="26"/>
      <c r="AF906" s="26"/>
      <c r="AG906" s="26"/>
      <c r="AH906" s="26"/>
      <c r="AI906" s="26"/>
      <c r="AJ906" s="26"/>
      <c r="AK906" s="26"/>
      <c r="AL906" s="26"/>
      <c r="AM906" s="26"/>
      <c r="AN906" s="26"/>
      <c r="AO906" s="26"/>
      <c r="AP906" s="26"/>
      <c r="AQ906" s="26"/>
      <c r="AR906" s="26"/>
      <c r="AS906" s="26"/>
      <c r="AT906" s="26"/>
      <c r="AU906" s="26"/>
      <c r="AV906" s="26"/>
      <c r="AW906" s="26"/>
      <c r="AX906" s="26"/>
      <c r="AY906" s="26"/>
    </row>
    <row r="907" spans="2:51">
      <c r="B907" s="31"/>
      <c r="C907" s="50"/>
      <c r="D907" s="50"/>
      <c r="J907" s="35"/>
      <c r="K907" s="35"/>
      <c r="L907" s="35"/>
      <c r="M907" s="35"/>
      <c r="S907" s="26"/>
      <c r="T907" s="26"/>
      <c r="U907" s="26"/>
      <c r="V907" s="26"/>
      <c r="W907" s="26"/>
      <c r="X907" s="26"/>
      <c r="Y907" s="26"/>
      <c r="Z907" s="26"/>
      <c r="AA907" s="26"/>
      <c r="AB907" s="26"/>
      <c r="AC907" s="26"/>
      <c r="AD907" s="26"/>
      <c r="AE907" s="26"/>
      <c r="AF907" s="26"/>
      <c r="AG907" s="26"/>
      <c r="AH907" s="26"/>
      <c r="AI907" s="26"/>
      <c r="AJ907" s="26"/>
      <c r="AK907" s="26"/>
      <c r="AL907" s="26"/>
      <c r="AM907" s="26"/>
      <c r="AN907" s="26"/>
      <c r="AO907" s="26"/>
      <c r="AP907" s="26"/>
      <c r="AQ907" s="26"/>
      <c r="AR907" s="26"/>
      <c r="AS907" s="26"/>
      <c r="AT907" s="26"/>
      <c r="AU907" s="26"/>
      <c r="AV907" s="26"/>
      <c r="AW907" s="26"/>
      <c r="AX907" s="26"/>
      <c r="AY907" s="26"/>
    </row>
    <row r="908" spans="2:51">
      <c r="B908" s="31"/>
      <c r="C908" s="50"/>
      <c r="D908" s="50"/>
      <c r="J908" s="35"/>
      <c r="K908" s="35"/>
      <c r="L908" s="35"/>
      <c r="M908" s="35"/>
      <c r="S908" s="26"/>
      <c r="T908" s="26"/>
      <c r="U908" s="26"/>
      <c r="V908" s="26"/>
      <c r="W908" s="26"/>
      <c r="X908" s="26"/>
      <c r="Y908" s="26"/>
      <c r="Z908" s="26"/>
      <c r="AA908" s="26"/>
      <c r="AB908" s="26"/>
      <c r="AC908" s="26"/>
      <c r="AD908" s="26"/>
      <c r="AE908" s="26"/>
      <c r="AF908" s="26"/>
      <c r="AG908" s="26"/>
      <c r="AH908" s="26"/>
      <c r="AI908" s="26"/>
      <c r="AJ908" s="26"/>
      <c r="AK908" s="26"/>
      <c r="AL908" s="26"/>
      <c r="AM908" s="26"/>
      <c r="AN908" s="26"/>
      <c r="AO908" s="26"/>
      <c r="AP908" s="26"/>
      <c r="AQ908" s="26"/>
      <c r="AR908" s="26"/>
      <c r="AS908" s="26"/>
      <c r="AT908" s="26"/>
      <c r="AU908" s="26"/>
      <c r="AV908" s="26"/>
      <c r="AW908" s="26"/>
      <c r="AX908" s="26"/>
      <c r="AY908" s="26"/>
    </row>
    <row r="909" spans="2:51">
      <c r="B909" s="31"/>
      <c r="C909" s="50"/>
      <c r="D909" s="50"/>
      <c r="J909" s="35"/>
      <c r="K909" s="35"/>
      <c r="L909" s="35"/>
      <c r="M909" s="35"/>
      <c r="S909" s="26"/>
      <c r="T909" s="26"/>
      <c r="U909" s="26"/>
      <c r="V909" s="26"/>
      <c r="W909" s="26"/>
      <c r="X909" s="26"/>
      <c r="Y909" s="26"/>
      <c r="Z909" s="26"/>
      <c r="AA909" s="26"/>
      <c r="AB909" s="26"/>
      <c r="AC909" s="26"/>
      <c r="AD909" s="26"/>
      <c r="AE909" s="26"/>
      <c r="AF909" s="26"/>
      <c r="AG909" s="26"/>
      <c r="AH909" s="26"/>
      <c r="AI909" s="26"/>
      <c r="AJ909" s="26"/>
      <c r="AK909" s="26"/>
      <c r="AL909" s="26"/>
      <c r="AM909" s="26"/>
      <c r="AN909" s="26"/>
      <c r="AO909" s="26"/>
      <c r="AP909" s="26"/>
      <c r="AQ909" s="26"/>
      <c r="AR909" s="26"/>
      <c r="AS909" s="26"/>
      <c r="AT909" s="26"/>
      <c r="AU909" s="26"/>
      <c r="AV909" s="26"/>
      <c r="AW909" s="26"/>
      <c r="AX909" s="26"/>
      <c r="AY909" s="26"/>
    </row>
    <row r="910" spans="2:51">
      <c r="B910" s="30" t="s">
        <v>181</v>
      </c>
      <c r="C910" s="37" t="s">
        <v>129</v>
      </c>
      <c r="D910" s="37" t="s">
        <v>129</v>
      </c>
      <c r="E910" s="37" t="s">
        <v>129</v>
      </c>
      <c r="F910" s="278"/>
      <c r="G910" s="278"/>
      <c r="H910" s="278"/>
      <c r="S910" s="26"/>
      <c r="T910" s="26"/>
      <c r="U910" s="26"/>
      <c r="V910" s="26"/>
      <c r="W910" s="26"/>
      <c r="X910" s="26"/>
      <c r="Y910" s="26"/>
      <c r="Z910" s="26"/>
      <c r="AA910" s="26"/>
      <c r="AB910" s="26"/>
      <c r="AC910" s="26"/>
      <c r="AD910" s="26"/>
      <c r="AE910" s="26"/>
      <c r="AF910" s="26"/>
      <c r="AG910" s="26"/>
      <c r="AH910" s="26"/>
      <c r="AI910" s="26"/>
      <c r="AJ910" s="26"/>
      <c r="AK910" s="26"/>
      <c r="AL910" s="26"/>
      <c r="AM910" s="26"/>
      <c r="AN910" s="26"/>
      <c r="AO910" s="26"/>
      <c r="AP910" s="26"/>
      <c r="AQ910" s="26"/>
      <c r="AR910" s="26"/>
      <c r="AS910" s="26"/>
      <c r="AT910" s="26"/>
      <c r="AU910" s="26"/>
      <c r="AV910" s="26"/>
      <c r="AW910" s="26"/>
      <c r="AX910" s="26"/>
      <c r="AY910" s="26"/>
    </row>
    <row r="911" spans="2:51">
      <c r="B911" s="14"/>
      <c r="C911" s="30">
        <v>2018</v>
      </c>
      <c r="D911" s="30" t="s">
        <v>223</v>
      </c>
      <c r="E911" s="30" t="s">
        <v>224</v>
      </c>
      <c r="F911" s="279"/>
      <c r="G911" s="279"/>
      <c r="H911" s="279"/>
      <c r="S911" s="26"/>
      <c r="T911" s="26"/>
      <c r="U911" s="26"/>
      <c r="V911" s="26"/>
      <c r="W911" s="26"/>
      <c r="X911" s="26"/>
      <c r="Y911" s="26"/>
      <c r="Z911" s="26"/>
      <c r="AA911" s="26"/>
      <c r="AB911" s="26"/>
      <c r="AC911" s="26"/>
      <c r="AD911" s="26"/>
      <c r="AE911" s="26"/>
      <c r="AF911" s="26"/>
      <c r="AG911" s="26"/>
      <c r="AH911" s="26"/>
      <c r="AI911" s="26"/>
      <c r="AJ911" s="26"/>
      <c r="AK911" s="26"/>
      <c r="AL911" s="26"/>
      <c r="AM911" s="26"/>
      <c r="AN911" s="26"/>
      <c r="AO911" s="26"/>
      <c r="AP911" s="26"/>
      <c r="AQ911" s="26"/>
      <c r="AR911" s="26"/>
      <c r="AS911" s="26"/>
      <c r="AT911" s="26"/>
      <c r="AU911" s="26"/>
      <c r="AV911" s="26"/>
      <c r="AW911" s="26"/>
      <c r="AX911" s="26"/>
      <c r="AY911" s="26"/>
    </row>
    <row r="912" spans="2:51">
      <c r="B912" s="32" t="s">
        <v>179</v>
      </c>
      <c r="C912" s="12">
        <f>'2018'!$AI$39+'2018'!$AI$43+'2018'!$AI$52+'2018'!$AI$55+'2018'!$AI$62+'2018'!$AI$71+'2018'!$AJ$39+'2018'!$AJ$43+'2018'!$AJ$52+'2018'!$AJ$55+'2018'!$AJ$62+'2018'!$AJ$71+'2018'!$AK$39+'2018'!$AK$43+'2018'!$AK$52+'2018'!$AK$55+'2018'!$AK$62+'2018'!$AK$71+'2018'!$AL$39+'2018'!$AL$43+'2018'!$AL$52+'2018'!$AL$55+'2018'!$AL$62+'2018'!$AL$71+'2018'!$AM$39+'2018'!$AM$43+'2018'!$AM$52+'2018'!$AM$55+'2018'!$AM$62+'2018'!$AM$71+'2018'!$AN$39+'2018'!$AN$43+'2018'!$AN$52+'2018'!$AN$55+'2018'!$AN$62+'2018'!$AN$71+'2018'!$AO$39+'2018'!$AO$43+'2018'!$AO$52+'2018'!$AO$55+'2018'!$AO$62+'2018'!$AO$71+'2018'!$AP$39+'2018'!$AP$43+'2018'!$AP$52+'2018'!$AP$55+'2018'!$AP$62+'2018'!$AP$71</f>
        <v>1770.1573696406606</v>
      </c>
      <c r="D912" s="12">
        <f>'BAU2030'!$AI$39+'BAU2030'!$AI$43+'BAU2030'!$AI$52+'BAU2030'!$AI$55+'BAU2030'!$AI$62+'BAU2030'!$AI$71+'BAU2030'!$AJ$39+'BAU2030'!$AJ$43+'BAU2030'!$AJ$52+'BAU2030'!$AJ$55+'BAU2030'!$AJ$62+'BAU2030'!$AJ$71+'BAU2030'!$AK$39+'BAU2030'!$AK$43+'BAU2030'!$AK$52+'BAU2030'!$AK$55+'BAU2030'!$AK$62+'BAU2030'!$AK$71+'BAU2030'!$AL$39+'BAU2030'!$AL$43+'BAU2030'!$AL$52+'BAU2030'!$AL$55+'BAU2030'!$AL$62+'BAU2030'!$AL$71+'BAU2030'!$AM$39+'BAU2030'!$AM$43+'BAU2030'!$AM$52+'BAU2030'!$AM$55+'BAU2030'!$AM$62+'BAU2030'!$AM$71+'BAU2030'!$AN$39+'BAU2030'!$AN$43+'BAU2030'!$AN$52+'BAU2030'!$AN$55+'BAU2030'!$AN$62+'BAU2030'!$AN$71+'BAU2030'!$AO$39+'BAU2030'!$AO$43+'BAU2030'!$AO$52+'BAU2030'!$AO$55+'BAU2030'!$AO$62+'BAU2030'!$AO$71+'BAU2030'!$AP$39+'BAU2030'!$AP$43+'BAU2030'!$AP$52+'BAU2030'!$AP$55+'BAU2030'!$AP$62+'BAU2030'!$AP$71</f>
        <v>1690.2238269668599</v>
      </c>
      <c r="E912" s="12">
        <f>'BAU2050'!$AI$39+'BAU2050'!$AI$43+'BAU2050'!$AI$52+'BAU2050'!$AI$55+'BAU2050'!$AI$62+'BAU2050'!$AI$71+'BAU2050'!$AJ$39+'BAU2050'!$AJ$43+'BAU2050'!$AJ$52+'BAU2050'!$AJ$55+'BAU2050'!$AJ$62+'BAU2050'!$AJ$71+'BAU2050'!$AK$39+'BAU2050'!$AK$43+'BAU2050'!$AK$52+'BAU2050'!$AK$55+'BAU2050'!$AK$62+'BAU2050'!$AK$71+'BAU2050'!$AL$39+'BAU2050'!$AL$43+'BAU2050'!$AL$52+'BAU2050'!$AL$55+'BAU2050'!$AL$62+'BAU2050'!$AL$71+'BAU2050'!$AM$39+'BAU2050'!$AM$43+'BAU2050'!$AM$52+'BAU2050'!$AM$55+'BAU2050'!$AM$62+'BAU2050'!$AM$71+'BAU2050'!$AN$39+'BAU2050'!$AN$43+'BAU2050'!$AN$52+'BAU2050'!$AN$55+'BAU2050'!$AN$62+'BAU2050'!$AN$71+'BAU2050'!$AO$39+'BAU2050'!$AO$43+'BAU2050'!$AO$52+'BAU2050'!$AO$55+'BAU2050'!$AO$62+'BAU2050'!$AO$71+'BAU2050'!$AP$39+'BAU2050'!$AP$43+'BAU2050'!$AP$52+'BAU2050'!$AP$55+'BAU2050'!$AP$62+'BAU2050'!$AP$71</f>
        <v>1588.7534030977215</v>
      </c>
      <c r="F912" s="281"/>
      <c r="G912" s="281"/>
      <c r="H912" s="281"/>
      <c r="S912" s="26"/>
      <c r="T912" s="26"/>
      <c r="U912" s="26"/>
      <c r="V912" s="26"/>
      <c r="W912" s="26"/>
      <c r="X912" s="26"/>
      <c r="Y912" s="26"/>
      <c r="Z912" s="26"/>
      <c r="AA912" s="26"/>
      <c r="AB912" s="26"/>
      <c r="AC912" s="26"/>
      <c r="AD912" s="26"/>
      <c r="AE912" s="26"/>
      <c r="AF912" s="26"/>
      <c r="AG912" s="26"/>
      <c r="AH912" s="26"/>
      <c r="AI912" s="26"/>
      <c r="AJ912" s="26"/>
      <c r="AK912" s="26"/>
      <c r="AL912" s="26"/>
      <c r="AM912" s="26"/>
      <c r="AN912" s="26"/>
      <c r="AO912" s="26"/>
      <c r="AP912" s="26"/>
      <c r="AQ912" s="26"/>
      <c r="AR912" s="26"/>
      <c r="AS912" s="26"/>
      <c r="AT912" s="26"/>
      <c r="AU912" s="26"/>
      <c r="AV912" s="26"/>
      <c r="AW912" s="26"/>
      <c r="AX912" s="26"/>
      <c r="AY912" s="26"/>
    </row>
    <row r="913" spans="2:51">
      <c r="B913" s="32" t="s">
        <v>182</v>
      </c>
      <c r="C913" s="12">
        <f>'2018'!$AI$18</f>
        <v>303.875</v>
      </c>
      <c r="D913" s="12">
        <f>'BAU2030'!$AI$18</f>
        <v>233.37599999999998</v>
      </c>
      <c r="E913" s="12">
        <f>'BAU2050'!$AI$18</f>
        <v>233.37599999999998</v>
      </c>
      <c r="F913" s="281"/>
      <c r="G913" s="281"/>
      <c r="H913" s="281"/>
      <c r="S913" s="26"/>
      <c r="T913" s="26"/>
      <c r="U913" s="26"/>
      <c r="V913" s="26"/>
      <c r="W913" s="26"/>
      <c r="X913" s="26"/>
      <c r="Y913" s="26"/>
      <c r="Z913" s="26"/>
      <c r="AA913" s="26"/>
      <c r="AB913" s="26"/>
      <c r="AC913" s="26"/>
      <c r="AD913" s="26"/>
      <c r="AE913" s="26"/>
      <c r="AF913" s="26"/>
      <c r="AG913" s="26"/>
      <c r="AH913" s="26"/>
      <c r="AI913" s="26"/>
      <c r="AJ913" s="26"/>
      <c r="AK913" s="26"/>
      <c r="AL913" s="26"/>
      <c r="AM913" s="26"/>
      <c r="AN913" s="26"/>
      <c r="AO913" s="26"/>
      <c r="AP913" s="26"/>
      <c r="AQ913" s="26"/>
      <c r="AR913" s="26"/>
      <c r="AS913" s="26"/>
      <c r="AT913" s="26"/>
      <c r="AU913" s="26"/>
      <c r="AV913" s="26"/>
      <c r="AW913" s="26"/>
      <c r="AX913" s="26"/>
      <c r="AY913" s="26"/>
    </row>
    <row r="914" spans="2:51">
      <c r="B914" s="14" t="s">
        <v>183</v>
      </c>
      <c r="C914" s="12">
        <f>'2018'!$AI$17</f>
        <v>116.56</v>
      </c>
      <c r="D914" s="12">
        <f>'BAU2030'!$AI$17</f>
        <v>33.569279999999999</v>
      </c>
      <c r="E914" s="12">
        <f>'BAU2050'!$AI$17</f>
        <v>0</v>
      </c>
      <c r="F914" s="281"/>
      <c r="G914" s="281"/>
      <c r="H914" s="281"/>
      <c r="S914" s="26"/>
      <c r="T914" s="26"/>
      <c r="U914" s="26"/>
      <c r="V914" s="26"/>
      <c r="W914" s="26"/>
      <c r="X914" s="26"/>
      <c r="Y914" s="26"/>
      <c r="Z914" s="26"/>
      <c r="AA914" s="26"/>
      <c r="AB914" s="26"/>
      <c r="AC914" s="26"/>
      <c r="AD914" s="26"/>
      <c r="AE914" s="26"/>
      <c r="AF914" s="26"/>
      <c r="AG914" s="26"/>
      <c r="AH914" s="26"/>
      <c r="AI914" s="26"/>
      <c r="AJ914" s="26"/>
      <c r="AK914" s="26"/>
      <c r="AL914" s="26"/>
      <c r="AM914" s="26"/>
      <c r="AN914" s="26"/>
      <c r="AO914" s="26"/>
      <c r="AP914" s="26"/>
      <c r="AQ914" s="26"/>
      <c r="AR914" s="26"/>
      <c r="AS914" s="26"/>
      <c r="AT914" s="26"/>
      <c r="AU914" s="26"/>
      <c r="AV914" s="26"/>
      <c r="AW914" s="26"/>
      <c r="AX914" s="26"/>
      <c r="AY914" s="26"/>
    </row>
    <row r="915" spans="2:51">
      <c r="B915" s="14" t="s">
        <v>184</v>
      </c>
      <c r="C915" s="12">
        <f>'2018'!$AI$19</f>
        <v>294.75</v>
      </c>
      <c r="D915" s="12">
        <f>'BAU2030'!$AI$19</f>
        <v>302.08349999999996</v>
      </c>
      <c r="E915" s="12">
        <f>'BAU2050'!$AI$19</f>
        <v>292.57499999999999</v>
      </c>
      <c r="F915" s="281"/>
      <c r="G915" s="281"/>
      <c r="H915" s="281"/>
      <c r="S915" s="26"/>
      <c r="T915" s="26"/>
      <c r="U915" s="26"/>
      <c r="V915" s="26"/>
      <c r="W915" s="26"/>
      <c r="X915" s="26"/>
      <c r="Y915" s="26"/>
      <c r="Z915" s="26"/>
      <c r="AA915" s="26"/>
      <c r="AB915" s="26"/>
      <c r="AC915" s="26"/>
      <c r="AD915" s="26"/>
      <c r="AE915" s="26"/>
      <c r="AF915" s="26"/>
      <c r="AG915" s="26"/>
      <c r="AH915" s="26"/>
      <c r="AI915" s="26"/>
      <c r="AJ915" s="26"/>
      <c r="AK915" s="26"/>
      <c r="AL915" s="26"/>
      <c r="AM915" s="26"/>
      <c r="AN915" s="26"/>
      <c r="AO915" s="26"/>
      <c r="AP915" s="26"/>
      <c r="AQ915" s="26"/>
      <c r="AR915" s="26"/>
      <c r="AS915" s="26"/>
      <c r="AT915" s="26"/>
      <c r="AU915" s="26"/>
      <c r="AV915" s="26"/>
      <c r="AW915" s="26"/>
      <c r="AX915" s="26"/>
      <c r="AY915" s="26"/>
    </row>
    <row r="916" spans="2:51">
      <c r="B916" s="14" t="s">
        <v>185</v>
      </c>
      <c r="C916" s="12">
        <f>'2018'!$AI$20</f>
        <v>235.3</v>
      </c>
      <c r="D916" s="12">
        <f>'BAU2030'!$AI$20</f>
        <v>225.88800000000001</v>
      </c>
      <c r="E916" s="12">
        <f>'BAU2050'!$AI$20</f>
        <v>211.77</v>
      </c>
      <c r="F916" s="281"/>
      <c r="G916" s="281"/>
      <c r="H916" s="281"/>
      <c r="S916" s="26"/>
      <c r="T916" s="26"/>
      <c r="U916" s="26"/>
      <c r="V916" s="26"/>
      <c r="W916" s="26"/>
      <c r="X916" s="26"/>
      <c r="Y916" s="26"/>
      <c r="Z916" s="26"/>
      <c r="AA916" s="26"/>
      <c r="AB916" s="26"/>
      <c r="AC916" s="26"/>
      <c r="AD916" s="26"/>
      <c r="AE916" s="26"/>
      <c r="AF916" s="26"/>
      <c r="AG916" s="26"/>
      <c r="AH916" s="26"/>
      <c r="AI916" s="26"/>
      <c r="AJ916" s="26"/>
      <c r="AK916" s="26"/>
      <c r="AL916" s="26"/>
      <c r="AM916" s="26"/>
      <c r="AN916" s="26"/>
      <c r="AO916" s="26"/>
      <c r="AP916" s="26"/>
      <c r="AQ916" s="26"/>
      <c r="AR916" s="26"/>
      <c r="AS916" s="26"/>
      <c r="AT916" s="26"/>
      <c r="AU916" s="26"/>
      <c r="AV916" s="26"/>
      <c r="AW916" s="26"/>
      <c r="AX916" s="26"/>
      <c r="AY916" s="26"/>
    </row>
    <row r="917" spans="2:51">
      <c r="B917" s="14" t="s">
        <v>186</v>
      </c>
      <c r="C917" s="12">
        <f>'2018'!$AI$21</f>
        <v>57.655000000000001</v>
      </c>
      <c r="D917" s="12">
        <f>'BAU2030'!$AI$21</f>
        <v>55.348800000000004</v>
      </c>
      <c r="E917" s="12">
        <f>'BAU2050'!$AI$21</f>
        <v>51.889499999999998</v>
      </c>
      <c r="F917" s="281"/>
      <c r="G917" s="281"/>
      <c r="H917" s="281"/>
      <c r="S917" s="26"/>
      <c r="T917" s="26"/>
      <c r="U917" s="26"/>
      <c r="V917" s="26"/>
      <c r="W917" s="26"/>
      <c r="X917" s="26"/>
      <c r="Y917" s="26"/>
      <c r="Z917" s="26"/>
      <c r="AA917" s="26"/>
      <c r="AB917" s="26"/>
      <c r="AC917" s="26"/>
      <c r="AD917" s="26"/>
      <c r="AE917" s="26"/>
      <c r="AF917" s="26"/>
      <c r="AG917" s="26"/>
      <c r="AH917" s="26"/>
      <c r="AI917" s="26"/>
      <c r="AJ917" s="26"/>
      <c r="AK917" s="26"/>
      <c r="AL917" s="26"/>
      <c r="AM917" s="26"/>
      <c r="AN917" s="26"/>
      <c r="AO917" s="26"/>
      <c r="AP917" s="26"/>
      <c r="AQ917" s="26"/>
      <c r="AR917" s="26"/>
      <c r="AS917" s="26"/>
      <c r="AT917" s="26"/>
      <c r="AU917" s="26"/>
      <c r="AV917" s="26"/>
      <c r="AW917" s="26"/>
      <c r="AX917" s="26"/>
      <c r="AY917" s="26"/>
    </row>
    <row r="918" spans="2:51">
      <c r="B918" s="32" t="s">
        <v>187</v>
      </c>
      <c r="C918" s="12">
        <f>'2018'!$AI$9/'2018'!$AB$9%+'2018'!$AI$10/'2018'!$AB$10%</f>
        <v>36.288888888888891</v>
      </c>
      <c r="D918" s="12">
        <f>'BAU2030'!$AI$9/'BAU2030'!$AB$9%+'BAU2030'!$AI$10/'BAU2030'!$AB$10%</f>
        <v>36.288888888888891</v>
      </c>
      <c r="E918" s="12">
        <f>'BAU2050'!$AI$9/'BAU2050'!$AB$9%+'BAU2050'!$AI$10/'BAU2050'!$AB$10%</f>
        <v>36.288888888888891</v>
      </c>
      <c r="F918" s="281"/>
      <c r="G918" s="281"/>
      <c r="H918" s="281"/>
      <c r="S918" s="26"/>
      <c r="T918" s="26"/>
      <c r="U918" s="26"/>
      <c r="V918" s="26"/>
      <c r="W918" s="26"/>
      <c r="X918" s="26"/>
      <c r="Y918" s="26"/>
      <c r="Z918" s="26"/>
      <c r="AA918" s="26"/>
      <c r="AB918" s="26"/>
      <c r="AC918" s="26"/>
      <c r="AD918" s="26"/>
      <c r="AE918" s="26"/>
      <c r="AF918" s="26"/>
      <c r="AG918" s="26"/>
      <c r="AH918" s="26"/>
      <c r="AI918" s="26"/>
      <c r="AJ918" s="26"/>
      <c r="AK918" s="26"/>
      <c r="AL918" s="26"/>
      <c r="AM918" s="26"/>
      <c r="AN918" s="26"/>
      <c r="AO918" s="26"/>
      <c r="AP918" s="26"/>
      <c r="AQ918" s="26"/>
      <c r="AR918" s="26"/>
      <c r="AS918" s="26"/>
      <c r="AT918" s="26"/>
      <c r="AU918" s="26"/>
      <c r="AV918" s="26"/>
      <c r="AW918" s="26"/>
      <c r="AX918" s="26"/>
      <c r="AY918" s="26"/>
    </row>
    <row r="919" spans="2:51">
      <c r="B919" s="32" t="s">
        <v>188</v>
      </c>
      <c r="C919" s="12">
        <f>'2018'!$N$14+'2018'!$AE$14</f>
        <v>27</v>
      </c>
      <c r="D919" s="12">
        <f>'BAU2030'!$N$14+'BAU2030'!$AE$14</f>
        <v>121.49</v>
      </c>
      <c r="E919" s="12">
        <f>'BAU2050'!$N$14+'BAU2050'!$AE$14</f>
        <v>372</v>
      </c>
      <c r="F919" s="281"/>
      <c r="G919" s="281"/>
      <c r="H919" s="281"/>
      <c r="S919" s="26"/>
      <c r="T919" s="26"/>
      <c r="U919" s="26"/>
      <c r="V919" s="26"/>
      <c r="W919" s="26"/>
      <c r="X919" s="26"/>
      <c r="Y919" s="26"/>
      <c r="Z919" s="26"/>
      <c r="AA919" s="26"/>
      <c r="AB919" s="26"/>
      <c r="AC919" s="26"/>
      <c r="AD919" s="26"/>
      <c r="AE919" s="26"/>
      <c r="AF919" s="26"/>
      <c r="AG919" s="26"/>
      <c r="AH919" s="26"/>
      <c r="AI919" s="26"/>
      <c r="AJ919" s="26"/>
      <c r="AK919" s="26"/>
      <c r="AL919" s="26"/>
      <c r="AM919" s="26"/>
      <c r="AN919" s="26"/>
      <c r="AO919" s="26"/>
      <c r="AP919" s="26"/>
      <c r="AQ919" s="26"/>
      <c r="AR919" s="26"/>
      <c r="AS919" s="26"/>
      <c r="AT919" s="26"/>
      <c r="AU919" s="26"/>
      <c r="AV919" s="26"/>
      <c r="AW919" s="26"/>
      <c r="AX919" s="26"/>
      <c r="AY919" s="26"/>
    </row>
    <row r="920" spans="2:51">
      <c r="B920" s="14" t="s">
        <v>189</v>
      </c>
      <c r="C920" s="12">
        <f>'2018'!$AI$22</f>
        <v>9.3000000000000007</v>
      </c>
      <c r="D920" s="12">
        <f>'BAU2030'!$AI$22</f>
        <v>9.3000000000000007</v>
      </c>
      <c r="E920" s="12">
        <f>'BAU2050'!$AI$22</f>
        <v>9.3000000000000007</v>
      </c>
      <c r="F920" s="281"/>
      <c r="G920" s="281"/>
      <c r="H920" s="281"/>
      <c r="S920" s="26"/>
      <c r="T920" s="26"/>
      <c r="U920" s="26"/>
      <c r="V920" s="26"/>
      <c r="W920" s="26"/>
      <c r="X920" s="26"/>
      <c r="Y920" s="26"/>
      <c r="Z920" s="26"/>
      <c r="AA920" s="26"/>
      <c r="AB920" s="26"/>
      <c r="AC920" s="26"/>
      <c r="AD920" s="26"/>
      <c r="AE920" s="26"/>
      <c r="AF920" s="26"/>
      <c r="AG920" s="26"/>
      <c r="AH920" s="26"/>
      <c r="AI920" s="26"/>
      <c r="AJ920" s="26"/>
      <c r="AK920" s="26"/>
      <c r="AL920" s="26"/>
      <c r="AM920" s="26"/>
      <c r="AN920" s="26"/>
      <c r="AO920" s="26"/>
      <c r="AP920" s="26"/>
      <c r="AQ920" s="26"/>
      <c r="AR920" s="26"/>
      <c r="AS920" s="26"/>
      <c r="AT920" s="26"/>
      <c r="AU920" s="26"/>
      <c r="AV920" s="26"/>
      <c r="AW920" s="26"/>
      <c r="AX920" s="26"/>
      <c r="AY920" s="26"/>
    </row>
    <row r="921" spans="2:51">
      <c r="B921" s="55" t="s">
        <v>147</v>
      </c>
      <c r="C921" s="56">
        <f>SUM(C912:C920)</f>
        <v>2850.8862585295497</v>
      </c>
      <c r="D921" s="56">
        <f>SUM(D912:D920)</f>
        <v>2707.5682958557486</v>
      </c>
      <c r="E921" s="56">
        <f>SUM(E912:E920)</f>
        <v>2795.95279198661</v>
      </c>
      <c r="F921" s="282"/>
      <c r="G921" s="282"/>
      <c r="H921" s="282"/>
      <c r="S921" s="26"/>
      <c r="T921" s="26"/>
      <c r="U921" s="26"/>
      <c r="V921" s="26"/>
      <c r="W921" s="26"/>
      <c r="X921" s="26"/>
      <c r="Y921" s="26"/>
      <c r="Z921" s="26"/>
      <c r="AA921" s="26"/>
      <c r="AB921" s="26"/>
      <c r="AC921" s="26"/>
      <c r="AD921" s="26"/>
      <c r="AE921" s="26"/>
      <c r="AF921" s="26"/>
      <c r="AG921" s="26"/>
      <c r="AH921" s="26"/>
      <c r="AI921" s="26"/>
      <c r="AJ921" s="26"/>
      <c r="AK921" s="26"/>
      <c r="AL921" s="26"/>
      <c r="AM921" s="26"/>
      <c r="AN921" s="26"/>
      <c r="AO921" s="26"/>
      <c r="AP921" s="26"/>
      <c r="AQ921" s="26"/>
      <c r="AR921" s="26"/>
      <c r="AS921" s="26"/>
      <c r="AT921" s="26"/>
      <c r="AU921" s="26"/>
      <c r="AV921" s="26"/>
      <c r="AW921" s="26"/>
      <c r="AX921" s="26"/>
      <c r="AY921" s="26"/>
    </row>
    <row r="922" spans="2:51">
      <c r="J922" s="35"/>
      <c r="K922" s="35"/>
      <c r="L922" s="35"/>
      <c r="M922" s="35"/>
      <c r="S922" s="26"/>
      <c r="T922" s="26"/>
      <c r="U922" s="26"/>
      <c r="V922" s="26"/>
      <c r="W922" s="26"/>
      <c r="X922" s="26"/>
      <c r="Y922" s="26"/>
      <c r="Z922" s="26"/>
      <c r="AA922" s="26"/>
      <c r="AB922" s="26"/>
      <c r="AC922" s="26"/>
      <c r="AD922" s="26"/>
      <c r="AE922" s="26"/>
      <c r="AF922" s="26"/>
      <c r="AG922" s="26"/>
      <c r="AH922" s="26"/>
      <c r="AI922" s="26"/>
      <c r="AJ922" s="26"/>
      <c r="AK922" s="26"/>
      <c r="AL922" s="26"/>
      <c r="AM922" s="26"/>
      <c r="AN922" s="26"/>
      <c r="AO922" s="26"/>
      <c r="AP922" s="26"/>
      <c r="AQ922" s="26"/>
      <c r="AR922" s="26"/>
      <c r="AS922" s="26"/>
      <c r="AT922" s="26"/>
      <c r="AU922" s="26"/>
      <c r="AV922" s="26"/>
      <c r="AW922" s="26"/>
      <c r="AX922" s="26"/>
      <c r="AY922" s="26"/>
    </row>
    <row r="923" spans="2:51">
      <c r="J923" s="35"/>
      <c r="K923" s="35"/>
      <c r="L923" s="35"/>
      <c r="M923" s="35"/>
      <c r="S923" s="26"/>
      <c r="T923" s="26"/>
      <c r="U923" s="26"/>
      <c r="V923" s="26"/>
      <c r="W923" s="26"/>
      <c r="X923" s="26"/>
      <c r="Y923" s="26"/>
      <c r="Z923" s="26"/>
      <c r="AA923" s="26"/>
      <c r="AB923" s="26"/>
      <c r="AC923" s="26"/>
      <c r="AD923" s="26"/>
      <c r="AE923" s="26"/>
      <c r="AF923" s="26"/>
      <c r="AG923" s="26"/>
      <c r="AH923" s="26"/>
      <c r="AI923" s="26"/>
      <c r="AJ923" s="26"/>
      <c r="AK923" s="26"/>
      <c r="AL923" s="26"/>
      <c r="AM923" s="26"/>
      <c r="AN923" s="26"/>
      <c r="AO923" s="26"/>
      <c r="AP923" s="26"/>
      <c r="AQ923" s="26"/>
      <c r="AR923" s="26"/>
      <c r="AS923" s="26"/>
      <c r="AT923" s="26"/>
      <c r="AU923" s="26"/>
      <c r="AV923" s="26"/>
      <c r="AW923" s="26"/>
      <c r="AX923" s="26"/>
      <c r="AY923" s="26"/>
    </row>
    <row r="924" spans="2:51">
      <c r="B924" s="59" t="s">
        <v>181</v>
      </c>
      <c r="J924" s="35"/>
      <c r="K924" s="35"/>
      <c r="L924" s="35"/>
      <c r="M924" s="35"/>
      <c r="S924" s="26"/>
      <c r="T924" s="26"/>
      <c r="U924" s="26"/>
      <c r="V924" s="26"/>
      <c r="W924" s="26"/>
      <c r="X924" s="26"/>
      <c r="Y924" s="26"/>
      <c r="Z924" s="26"/>
      <c r="AA924" s="26"/>
      <c r="AB924" s="26"/>
      <c r="AC924" s="26"/>
      <c r="AD924" s="26"/>
      <c r="AE924" s="26"/>
      <c r="AF924" s="26"/>
      <c r="AG924" s="26"/>
      <c r="AH924" s="26"/>
      <c r="AI924" s="26"/>
      <c r="AJ924" s="26"/>
      <c r="AK924" s="26"/>
      <c r="AL924" s="26"/>
      <c r="AM924" s="26"/>
      <c r="AN924" s="26"/>
      <c r="AO924" s="26"/>
      <c r="AP924" s="26"/>
      <c r="AQ924" s="26"/>
      <c r="AR924" s="26"/>
      <c r="AS924" s="26"/>
      <c r="AT924" s="26"/>
      <c r="AU924" s="26"/>
      <c r="AV924" s="26"/>
      <c r="AW924" s="26"/>
      <c r="AX924" s="26"/>
      <c r="AY924" s="26"/>
    </row>
    <row r="925" spans="2:51">
      <c r="J925" s="35"/>
      <c r="K925" s="35"/>
      <c r="L925" s="35"/>
      <c r="M925" s="35"/>
      <c r="S925" s="26"/>
      <c r="T925" s="26"/>
      <c r="U925" s="26"/>
      <c r="V925" s="26"/>
      <c r="W925" s="26"/>
      <c r="X925" s="26"/>
      <c r="Y925" s="26"/>
      <c r="Z925" s="26"/>
      <c r="AA925" s="26"/>
      <c r="AB925" s="26"/>
      <c r="AC925" s="26"/>
      <c r="AD925" s="26"/>
      <c r="AE925" s="26"/>
      <c r="AF925" s="26"/>
      <c r="AG925" s="26"/>
      <c r="AH925" s="26"/>
      <c r="AI925" s="26"/>
      <c r="AJ925" s="26"/>
      <c r="AK925" s="26"/>
      <c r="AL925" s="26"/>
      <c r="AM925" s="26"/>
      <c r="AN925" s="26"/>
      <c r="AO925" s="26"/>
      <c r="AP925" s="26"/>
      <c r="AQ925" s="26"/>
      <c r="AR925" s="26"/>
      <c r="AS925" s="26"/>
      <c r="AT925" s="26"/>
      <c r="AU925" s="26"/>
      <c r="AV925" s="26"/>
      <c r="AW925" s="26"/>
      <c r="AX925" s="26"/>
      <c r="AY925" s="26"/>
    </row>
    <row r="926" spans="2:51">
      <c r="J926" s="35"/>
      <c r="K926" s="35"/>
      <c r="L926" s="35"/>
      <c r="M926" s="35"/>
      <c r="S926" s="26"/>
      <c r="T926" s="26"/>
      <c r="U926" s="26"/>
      <c r="V926" s="26"/>
      <c r="W926" s="26"/>
      <c r="X926" s="26"/>
      <c r="Y926" s="26"/>
      <c r="Z926" s="26"/>
      <c r="AA926" s="26"/>
      <c r="AB926" s="26"/>
      <c r="AC926" s="26"/>
      <c r="AD926" s="26"/>
      <c r="AE926" s="26"/>
      <c r="AF926" s="26"/>
      <c r="AG926" s="26"/>
      <c r="AH926" s="26"/>
      <c r="AI926" s="26"/>
      <c r="AJ926" s="26"/>
      <c r="AK926" s="26"/>
      <c r="AL926" s="26"/>
      <c r="AM926" s="26"/>
      <c r="AN926" s="26"/>
      <c r="AO926" s="26"/>
      <c r="AP926" s="26"/>
      <c r="AQ926" s="26"/>
      <c r="AR926" s="26"/>
      <c r="AS926" s="26"/>
      <c r="AT926" s="26"/>
      <c r="AU926" s="26"/>
      <c r="AV926" s="26"/>
      <c r="AW926" s="26"/>
      <c r="AX926" s="26"/>
      <c r="AY926" s="26"/>
    </row>
    <row r="927" spans="2:51">
      <c r="J927" s="35"/>
      <c r="K927" s="35"/>
      <c r="L927" s="35"/>
      <c r="M927" s="35"/>
      <c r="S927" s="26"/>
      <c r="T927" s="26"/>
      <c r="U927" s="26"/>
      <c r="V927" s="26"/>
      <c r="W927" s="26"/>
      <c r="X927" s="26"/>
      <c r="Y927" s="26"/>
      <c r="Z927" s="26"/>
      <c r="AA927" s="26"/>
      <c r="AB927" s="26"/>
      <c r="AC927" s="26"/>
      <c r="AD927" s="26"/>
      <c r="AE927" s="26"/>
      <c r="AF927" s="26"/>
      <c r="AG927" s="26"/>
      <c r="AH927" s="26"/>
      <c r="AI927" s="26"/>
      <c r="AJ927" s="26"/>
      <c r="AK927" s="26"/>
      <c r="AL927" s="26"/>
      <c r="AM927" s="26"/>
      <c r="AN927" s="26"/>
      <c r="AO927" s="26"/>
      <c r="AP927" s="26"/>
      <c r="AQ927" s="26"/>
      <c r="AR927" s="26"/>
      <c r="AS927" s="26"/>
      <c r="AT927" s="26"/>
      <c r="AU927" s="26"/>
      <c r="AV927" s="26"/>
      <c r="AW927" s="26"/>
      <c r="AX927" s="26"/>
      <c r="AY927" s="26"/>
    </row>
    <row r="928" spans="2:51">
      <c r="J928" s="35"/>
      <c r="K928" s="35"/>
      <c r="L928" s="35"/>
      <c r="M928" s="35"/>
      <c r="S928" s="26"/>
      <c r="T928" s="26"/>
      <c r="U928" s="26"/>
      <c r="V928" s="26"/>
      <c r="W928" s="26"/>
      <c r="X928" s="26"/>
      <c r="Y928" s="26"/>
      <c r="Z928" s="26"/>
      <c r="AA928" s="26"/>
      <c r="AB928" s="26"/>
      <c r="AC928" s="26"/>
      <c r="AD928" s="26"/>
      <c r="AE928" s="26"/>
      <c r="AF928" s="26"/>
      <c r="AG928" s="26"/>
      <c r="AH928" s="26"/>
      <c r="AI928" s="26"/>
      <c r="AJ928" s="26"/>
      <c r="AK928" s="26"/>
      <c r="AL928" s="26"/>
      <c r="AM928" s="26"/>
      <c r="AN928" s="26"/>
      <c r="AO928" s="26"/>
      <c r="AP928" s="26"/>
      <c r="AQ928" s="26"/>
      <c r="AR928" s="26"/>
      <c r="AS928" s="26"/>
      <c r="AT928" s="26"/>
      <c r="AU928" s="26"/>
      <c r="AV928" s="26"/>
      <c r="AW928" s="26"/>
      <c r="AX928" s="26"/>
      <c r="AY928" s="26"/>
    </row>
    <row r="929" spans="10:51">
      <c r="J929" s="35"/>
      <c r="K929" s="35"/>
      <c r="L929" s="35"/>
      <c r="M929" s="35"/>
      <c r="S929" s="26"/>
      <c r="T929" s="26"/>
      <c r="U929" s="26"/>
      <c r="V929" s="26"/>
      <c r="W929" s="26"/>
      <c r="X929" s="26"/>
      <c r="Y929" s="26"/>
      <c r="Z929" s="26"/>
      <c r="AA929" s="26"/>
      <c r="AB929" s="26"/>
      <c r="AC929" s="26"/>
      <c r="AD929" s="26"/>
      <c r="AE929" s="26"/>
      <c r="AF929" s="26"/>
      <c r="AG929" s="26"/>
      <c r="AH929" s="26"/>
      <c r="AI929" s="26"/>
      <c r="AJ929" s="26"/>
      <c r="AK929" s="26"/>
      <c r="AL929" s="26"/>
      <c r="AM929" s="26"/>
      <c r="AN929" s="26"/>
      <c r="AO929" s="26"/>
      <c r="AP929" s="26"/>
      <c r="AQ929" s="26"/>
      <c r="AR929" s="26"/>
      <c r="AS929" s="26"/>
      <c r="AT929" s="26"/>
      <c r="AU929" s="26"/>
      <c r="AV929" s="26"/>
      <c r="AW929" s="26"/>
      <c r="AX929" s="26"/>
      <c r="AY929" s="26"/>
    </row>
    <row r="930" spans="10:51">
      <c r="J930" s="35"/>
      <c r="K930" s="35"/>
      <c r="L930" s="35"/>
      <c r="M930" s="35"/>
      <c r="S930" s="26"/>
      <c r="T930" s="26"/>
      <c r="U930" s="26"/>
      <c r="V930" s="26"/>
      <c r="W930" s="26"/>
      <c r="X930" s="26"/>
      <c r="Y930" s="26"/>
      <c r="Z930" s="26"/>
      <c r="AA930" s="26"/>
      <c r="AB930" s="26"/>
      <c r="AC930" s="26"/>
      <c r="AD930" s="26"/>
      <c r="AE930" s="26"/>
      <c r="AF930" s="26"/>
      <c r="AG930" s="26"/>
      <c r="AH930" s="26"/>
      <c r="AI930" s="26"/>
      <c r="AJ930" s="26"/>
      <c r="AK930" s="26"/>
      <c r="AL930" s="26"/>
      <c r="AM930" s="26"/>
      <c r="AN930" s="26"/>
      <c r="AO930" s="26"/>
      <c r="AP930" s="26"/>
      <c r="AQ930" s="26"/>
      <c r="AR930" s="26"/>
      <c r="AS930" s="26"/>
      <c r="AT930" s="26"/>
      <c r="AU930" s="26"/>
      <c r="AV930" s="26"/>
      <c r="AW930" s="26"/>
      <c r="AX930" s="26"/>
      <c r="AY930" s="26"/>
    </row>
    <row r="931" spans="10:51">
      <c r="J931" s="35"/>
      <c r="K931" s="35"/>
      <c r="L931" s="35"/>
      <c r="M931" s="35"/>
      <c r="S931" s="26"/>
      <c r="T931" s="26"/>
      <c r="U931" s="26"/>
      <c r="V931" s="26"/>
      <c r="W931" s="26"/>
      <c r="X931" s="26"/>
      <c r="Y931" s="26"/>
      <c r="Z931" s="26"/>
      <c r="AA931" s="26"/>
      <c r="AB931" s="26"/>
      <c r="AC931" s="26"/>
      <c r="AD931" s="26"/>
      <c r="AE931" s="26"/>
      <c r="AF931" s="26"/>
      <c r="AG931" s="26"/>
      <c r="AH931" s="26"/>
      <c r="AI931" s="26"/>
      <c r="AJ931" s="26"/>
      <c r="AK931" s="26"/>
      <c r="AL931" s="26"/>
      <c r="AM931" s="26"/>
      <c r="AN931" s="26"/>
      <c r="AO931" s="26"/>
      <c r="AP931" s="26"/>
      <c r="AQ931" s="26"/>
      <c r="AR931" s="26"/>
      <c r="AS931" s="26"/>
      <c r="AT931" s="26"/>
      <c r="AU931" s="26"/>
      <c r="AV931" s="26"/>
      <c r="AW931" s="26"/>
      <c r="AX931" s="26"/>
      <c r="AY931" s="26"/>
    </row>
    <row r="932" spans="10:51">
      <c r="J932" s="35"/>
      <c r="K932" s="35"/>
      <c r="L932" s="35"/>
      <c r="M932" s="35"/>
      <c r="S932" s="26"/>
      <c r="T932" s="26"/>
      <c r="U932" s="26"/>
      <c r="V932" s="26"/>
      <c r="W932" s="26"/>
      <c r="X932" s="26"/>
      <c r="Y932" s="26"/>
      <c r="Z932" s="26"/>
      <c r="AA932" s="26"/>
      <c r="AB932" s="26"/>
      <c r="AC932" s="26"/>
      <c r="AD932" s="26"/>
      <c r="AE932" s="26"/>
      <c r="AF932" s="26"/>
      <c r="AG932" s="26"/>
      <c r="AH932" s="26"/>
      <c r="AI932" s="26"/>
      <c r="AJ932" s="26"/>
      <c r="AK932" s="26"/>
      <c r="AL932" s="26"/>
      <c r="AM932" s="26"/>
      <c r="AN932" s="26"/>
      <c r="AO932" s="26"/>
      <c r="AP932" s="26"/>
      <c r="AQ932" s="26"/>
      <c r="AR932" s="26"/>
      <c r="AS932" s="26"/>
      <c r="AT932" s="26"/>
      <c r="AU932" s="26"/>
      <c r="AV932" s="26"/>
      <c r="AW932" s="26"/>
      <c r="AX932" s="26"/>
      <c r="AY932" s="26"/>
    </row>
    <row r="933" spans="10:51">
      <c r="S933" s="26"/>
      <c r="T933" s="26"/>
      <c r="U933" s="26"/>
      <c r="V933" s="26"/>
      <c r="W933" s="26"/>
      <c r="X933" s="26"/>
      <c r="Y933" s="26"/>
      <c r="Z933" s="26"/>
      <c r="AA933" s="26"/>
      <c r="AB933" s="26"/>
      <c r="AC933" s="26"/>
      <c r="AD933" s="26"/>
      <c r="AE933" s="26"/>
      <c r="AF933" s="26"/>
      <c r="AG933" s="26"/>
      <c r="AH933" s="26"/>
      <c r="AI933" s="26"/>
      <c r="AJ933" s="26"/>
      <c r="AK933" s="26"/>
      <c r="AL933" s="26"/>
      <c r="AM933" s="26"/>
      <c r="AN933" s="26"/>
      <c r="AO933" s="26"/>
      <c r="AP933" s="26"/>
      <c r="AQ933" s="26"/>
      <c r="AR933" s="26"/>
      <c r="AS933" s="26"/>
      <c r="AT933" s="26"/>
      <c r="AU933" s="26"/>
      <c r="AV933" s="26"/>
      <c r="AW933" s="26"/>
      <c r="AX933" s="26"/>
      <c r="AY933" s="26"/>
    </row>
    <row r="934" spans="10:51">
      <c r="S934" s="26"/>
      <c r="T934" s="26"/>
      <c r="U934" s="26"/>
      <c r="V934" s="26"/>
      <c r="W934" s="26"/>
      <c r="X934" s="26"/>
      <c r="Y934" s="26"/>
      <c r="Z934" s="26"/>
      <c r="AA934" s="26"/>
      <c r="AB934" s="26"/>
      <c r="AC934" s="26"/>
      <c r="AD934" s="26"/>
      <c r="AE934" s="26"/>
      <c r="AF934" s="26"/>
      <c r="AG934" s="26"/>
      <c r="AH934" s="26"/>
      <c r="AI934" s="26"/>
      <c r="AJ934" s="26"/>
      <c r="AK934" s="26"/>
      <c r="AL934" s="26"/>
      <c r="AM934" s="26"/>
      <c r="AN934" s="26"/>
      <c r="AO934" s="26"/>
      <c r="AP934" s="26"/>
      <c r="AQ934" s="26"/>
      <c r="AR934" s="26"/>
      <c r="AS934" s="26"/>
      <c r="AT934" s="26"/>
      <c r="AU934" s="26"/>
      <c r="AV934" s="26"/>
      <c r="AW934" s="26"/>
      <c r="AX934" s="26"/>
      <c r="AY934" s="26"/>
    </row>
    <row r="935" spans="10:51">
      <c r="S935" s="26"/>
      <c r="T935" s="26"/>
      <c r="U935" s="26"/>
      <c r="V935" s="26"/>
      <c r="W935" s="26"/>
      <c r="X935" s="26"/>
      <c r="Y935" s="26"/>
      <c r="Z935" s="26"/>
      <c r="AA935" s="26"/>
      <c r="AB935" s="26"/>
      <c r="AC935" s="26"/>
      <c r="AD935" s="26"/>
      <c r="AE935" s="26"/>
      <c r="AF935" s="26"/>
      <c r="AG935" s="26"/>
      <c r="AH935" s="26"/>
      <c r="AI935" s="26"/>
      <c r="AJ935" s="26"/>
      <c r="AK935" s="26"/>
      <c r="AL935" s="26"/>
      <c r="AM935" s="26"/>
      <c r="AN935" s="26"/>
      <c r="AO935" s="26"/>
      <c r="AP935" s="26"/>
      <c r="AQ935" s="26"/>
      <c r="AR935" s="26"/>
      <c r="AS935" s="26"/>
      <c r="AT935" s="26"/>
      <c r="AU935" s="26"/>
      <c r="AV935" s="26"/>
      <c r="AW935" s="26"/>
      <c r="AX935" s="26"/>
      <c r="AY935" s="26"/>
    </row>
    <row r="936" spans="10:51">
      <c r="S936" s="26"/>
      <c r="T936" s="26"/>
      <c r="U936" s="26"/>
      <c r="V936" s="26"/>
      <c r="W936" s="26"/>
      <c r="X936" s="26"/>
      <c r="Y936" s="26"/>
      <c r="Z936" s="26"/>
      <c r="AA936" s="26"/>
      <c r="AB936" s="26"/>
      <c r="AC936" s="26"/>
      <c r="AD936" s="26"/>
      <c r="AE936" s="26"/>
      <c r="AF936" s="26"/>
      <c r="AG936" s="26"/>
      <c r="AH936" s="26"/>
      <c r="AI936" s="26"/>
      <c r="AJ936" s="26"/>
      <c r="AK936" s="26"/>
      <c r="AL936" s="26"/>
      <c r="AM936" s="26"/>
      <c r="AN936" s="26"/>
      <c r="AO936" s="26"/>
      <c r="AP936" s="26"/>
      <c r="AQ936" s="26"/>
      <c r="AR936" s="26"/>
      <c r="AS936" s="26"/>
      <c r="AT936" s="26"/>
      <c r="AU936" s="26"/>
      <c r="AV936" s="26"/>
      <c r="AW936" s="26"/>
      <c r="AX936" s="26"/>
      <c r="AY936" s="26"/>
    </row>
    <row r="937" spans="10:51">
      <c r="S937" s="26"/>
      <c r="T937" s="26"/>
      <c r="U937" s="26"/>
      <c r="V937" s="26"/>
      <c r="W937" s="26"/>
      <c r="X937" s="26"/>
      <c r="Y937" s="26"/>
      <c r="Z937" s="26"/>
      <c r="AA937" s="26"/>
      <c r="AB937" s="26"/>
      <c r="AC937" s="26"/>
      <c r="AD937" s="26"/>
      <c r="AE937" s="26"/>
      <c r="AF937" s="26"/>
      <c r="AG937" s="26"/>
      <c r="AH937" s="26"/>
      <c r="AI937" s="26"/>
      <c r="AJ937" s="26"/>
      <c r="AK937" s="26"/>
      <c r="AL937" s="26"/>
      <c r="AM937" s="26"/>
      <c r="AN937" s="26"/>
      <c r="AO937" s="26"/>
      <c r="AP937" s="26"/>
      <c r="AQ937" s="26"/>
      <c r="AR937" s="26"/>
      <c r="AS937" s="26"/>
      <c r="AT937" s="26"/>
      <c r="AU937" s="26"/>
      <c r="AV937" s="26"/>
      <c r="AW937" s="26"/>
      <c r="AX937" s="26"/>
      <c r="AY937" s="26"/>
    </row>
    <row r="938" spans="10:51">
      <c r="S938" s="26"/>
      <c r="T938" s="26"/>
      <c r="U938" s="26"/>
      <c r="V938" s="26"/>
      <c r="W938" s="26"/>
      <c r="X938" s="26"/>
      <c r="Y938" s="26"/>
      <c r="Z938" s="26"/>
      <c r="AA938" s="26"/>
      <c r="AB938" s="26"/>
      <c r="AC938" s="26"/>
      <c r="AD938" s="26"/>
      <c r="AE938" s="26"/>
      <c r="AF938" s="26"/>
      <c r="AG938" s="26"/>
      <c r="AH938" s="26"/>
      <c r="AI938" s="26"/>
      <c r="AJ938" s="26"/>
      <c r="AK938" s="26"/>
      <c r="AL938" s="26"/>
      <c r="AM938" s="26"/>
      <c r="AN938" s="26"/>
      <c r="AO938" s="26"/>
      <c r="AP938" s="26"/>
      <c r="AQ938" s="26"/>
      <c r="AR938" s="26"/>
      <c r="AS938" s="26"/>
      <c r="AT938" s="26"/>
      <c r="AU938" s="26"/>
      <c r="AV938" s="26"/>
      <c r="AW938" s="26"/>
      <c r="AX938" s="26"/>
      <c r="AY938" s="26"/>
    </row>
    <row r="939" spans="10:51">
      <c r="S939" s="26"/>
      <c r="T939" s="26"/>
      <c r="U939" s="26"/>
      <c r="V939" s="26"/>
      <c r="W939" s="26"/>
      <c r="X939" s="26"/>
      <c r="Y939" s="26"/>
      <c r="Z939" s="26"/>
      <c r="AA939" s="26"/>
      <c r="AB939" s="26"/>
      <c r="AC939" s="26"/>
      <c r="AD939" s="26"/>
      <c r="AE939" s="26"/>
      <c r="AF939" s="26"/>
      <c r="AG939" s="26"/>
      <c r="AH939" s="26"/>
      <c r="AI939" s="26"/>
      <c r="AJ939" s="26"/>
      <c r="AK939" s="26"/>
      <c r="AL939" s="26"/>
      <c r="AM939" s="26"/>
      <c r="AN939" s="26"/>
      <c r="AO939" s="26"/>
      <c r="AP939" s="26"/>
      <c r="AQ939" s="26"/>
      <c r="AR939" s="26"/>
      <c r="AS939" s="26"/>
      <c r="AT939" s="26"/>
      <c r="AU939" s="26"/>
      <c r="AV939" s="26"/>
      <c r="AW939" s="26"/>
      <c r="AX939" s="26"/>
      <c r="AY939" s="26"/>
    </row>
    <row r="940" spans="10:51">
      <c r="S940" s="26"/>
      <c r="T940" s="26"/>
      <c r="U940" s="26"/>
      <c r="V940" s="26"/>
      <c r="W940" s="26"/>
      <c r="X940" s="26"/>
      <c r="Y940" s="26"/>
      <c r="Z940" s="26"/>
      <c r="AA940" s="26"/>
      <c r="AB940" s="26"/>
      <c r="AC940" s="26"/>
      <c r="AD940" s="26"/>
      <c r="AE940" s="26"/>
      <c r="AF940" s="26"/>
      <c r="AG940" s="26"/>
      <c r="AH940" s="26"/>
      <c r="AI940" s="26"/>
      <c r="AJ940" s="26"/>
      <c r="AK940" s="26"/>
      <c r="AL940" s="26"/>
      <c r="AM940" s="26"/>
      <c r="AN940" s="26"/>
      <c r="AO940" s="26"/>
      <c r="AP940" s="26"/>
      <c r="AQ940" s="26"/>
      <c r="AR940" s="26"/>
      <c r="AS940" s="26"/>
      <c r="AT940" s="26"/>
      <c r="AU940" s="26"/>
      <c r="AV940" s="26"/>
      <c r="AW940" s="26"/>
      <c r="AX940" s="26"/>
      <c r="AY940" s="26"/>
    </row>
    <row r="941" spans="10:51">
      <c r="S941" s="26"/>
      <c r="T941" s="26"/>
      <c r="U941" s="26"/>
      <c r="V941" s="26"/>
      <c r="W941" s="26"/>
      <c r="X941" s="26"/>
      <c r="Y941" s="26"/>
      <c r="Z941" s="26"/>
      <c r="AA941" s="26"/>
      <c r="AB941" s="26"/>
      <c r="AC941" s="26"/>
      <c r="AD941" s="26"/>
      <c r="AE941" s="26"/>
      <c r="AF941" s="26"/>
      <c r="AG941" s="26"/>
      <c r="AH941" s="26"/>
      <c r="AI941" s="26"/>
      <c r="AJ941" s="26"/>
      <c r="AK941" s="26"/>
      <c r="AL941" s="26"/>
      <c r="AM941" s="26"/>
      <c r="AN941" s="26"/>
      <c r="AO941" s="26"/>
      <c r="AP941" s="26"/>
      <c r="AQ941" s="26"/>
      <c r="AR941" s="26"/>
      <c r="AS941" s="26"/>
      <c r="AT941" s="26"/>
      <c r="AU941" s="26"/>
      <c r="AV941" s="26"/>
      <c r="AW941" s="26"/>
      <c r="AX941" s="26"/>
      <c r="AY941" s="26"/>
    </row>
    <row r="942" spans="10:51">
      <c r="S942" s="26"/>
      <c r="T942" s="26"/>
      <c r="U942" s="26"/>
      <c r="V942" s="26"/>
      <c r="W942" s="26"/>
      <c r="X942" s="26"/>
      <c r="Y942" s="26"/>
      <c r="Z942" s="26"/>
      <c r="AA942" s="26"/>
      <c r="AB942" s="26"/>
      <c r="AC942" s="26"/>
      <c r="AD942" s="26"/>
      <c r="AE942" s="26"/>
      <c r="AF942" s="26"/>
      <c r="AG942" s="26"/>
      <c r="AH942" s="26"/>
      <c r="AI942" s="26"/>
      <c r="AJ942" s="26"/>
      <c r="AK942" s="26"/>
      <c r="AL942" s="26"/>
      <c r="AM942" s="26"/>
      <c r="AN942" s="26"/>
      <c r="AO942" s="26"/>
      <c r="AP942" s="26"/>
      <c r="AQ942" s="26"/>
      <c r="AR942" s="26"/>
      <c r="AS942" s="26"/>
      <c r="AT942" s="26"/>
      <c r="AU942" s="26"/>
      <c r="AV942" s="26"/>
      <c r="AW942" s="26"/>
      <c r="AX942" s="26"/>
      <c r="AY942" s="26"/>
    </row>
    <row r="943" spans="10:51">
      <c r="S943" s="26"/>
      <c r="T943" s="26"/>
      <c r="U943" s="26"/>
      <c r="V943" s="26"/>
      <c r="W943" s="26"/>
      <c r="X943" s="26"/>
      <c r="Y943" s="26"/>
      <c r="Z943" s="26"/>
      <c r="AA943" s="26"/>
      <c r="AB943" s="26"/>
      <c r="AC943" s="26"/>
      <c r="AD943" s="26"/>
      <c r="AE943" s="26"/>
      <c r="AF943" s="26"/>
      <c r="AG943" s="26"/>
      <c r="AH943" s="26"/>
      <c r="AI943" s="26"/>
      <c r="AJ943" s="26"/>
      <c r="AK943" s="26"/>
      <c r="AL943" s="26"/>
      <c r="AM943" s="26"/>
      <c r="AN943" s="26"/>
      <c r="AO943" s="26"/>
      <c r="AP943" s="26"/>
      <c r="AQ943" s="26"/>
      <c r="AR943" s="26"/>
      <c r="AS943" s="26"/>
      <c r="AT943" s="26"/>
      <c r="AU943" s="26"/>
      <c r="AV943" s="26"/>
      <c r="AW943" s="26"/>
      <c r="AX943" s="26"/>
      <c r="AY943" s="26"/>
    </row>
    <row r="944" spans="10:51">
      <c r="S944" s="26"/>
      <c r="T944" s="26"/>
      <c r="U944" s="26"/>
      <c r="V944" s="26"/>
      <c r="W944" s="26"/>
      <c r="X944" s="26"/>
      <c r="Y944" s="26"/>
      <c r="Z944" s="26"/>
      <c r="AA944" s="26"/>
      <c r="AB944" s="26"/>
      <c r="AC944" s="26"/>
      <c r="AD944" s="26"/>
      <c r="AE944" s="26"/>
      <c r="AF944" s="26"/>
      <c r="AG944" s="26"/>
      <c r="AH944" s="26"/>
      <c r="AI944" s="26"/>
      <c r="AJ944" s="26"/>
      <c r="AK944" s="26"/>
      <c r="AL944" s="26"/>
      <c r="AM944" s="26"/>
      <c r="AN944" s="26"/>
      <c r="AO944" s="26"/>
      <c r="AP944" s="26"/>
      <c r="AQ944" s="26"/>
      <c r="AR944" s="26"/>
      <c r="AS944" s="26"/>
      <c r="AT944" s="26"/>
      <c r="AU944" s="26"/>
      <c r="AV944" s="26"/>
      <c r="AW944" s="26"/>
      <c r="AX944" s="26"/>
      <c r="AY944" s="26"/>
    </row>
    <row r="945" spans="2:51">
      <c r="S945" s="26"/>
      <c r="T945" s="26"/>
      <c r="U945" s="26"/>
      <c r="V945" s="26"/>
      <c r="W945" s="26"/>
      <c r="X945" s="26"/>
      <c r="Y945" s="26"/>
      <c r="Z945" s="26"/>
      <c r="AA945" s="26"/>
      <c r="AB945" s="26"/>
      <c r="AC945" s="26"/>
      <c r="AD945" s="26"/>
      <c r="AE945" s="26"/>
      <c r="AF945" s="26"/>
      <c r="AG945" s="26"/>
      <c r="AH945" s="26"/>
      <c r="AI945" s="26"/>
      <c r="AJ945" s="26"/>
      <c r="AK945" s="26"/>
      <c r="AL945" s="26"/>
      <c r="AM945" s="26"/>
      <c r="AN945" s="26"/>
      <c r="AO945" s="26"/>
      <c r="AP945" s="26"/>
      <c r="AQ945" s="26"/>
      <c r="AR945" s="26"/>
      <c r="AS945" s="26"/>
      <c r="AT945" s="26"/>
      <c r="AU945" s="26"/>
      <c r="AV945" s="26"/>
      <c r="AW945" s="26"/>
      <c r="AX945" s="26"/>
      <c r="AY945" s="26"/>
    </row>
    <row r="946" spans="2:51">
      <c r="S946" s="26"/>
      <c r="T946" s="26"/>
      <c r="U946" s="26"/>
      <c r="V946" s="26"/>
      <c r="W946" s="26"/>
      <c r="X946" s="26"/>
      <c r="Y946" s="26"/>
      <c r="Z946" s="26"/>
      <c r="AA946" s="26"/>
      <c r="AB946" s="26"/>
      <c r="AC946" s="26"/>
      <c r="AD946" s="26"/>
      <c r="AE946" s="26"/>
      <c r="AF946" s="26"/>
      <c r="AG946" s="26"/>
      <c r="AH946" s="26"/>
      <c r="AI946" s="26"/>
      <c r="AJ946" s="26"/>
      <c r="AK946" s="26"/>
      <c r="AL946" s="26"/>
      <c r="AM946" s="26"/>
      <c r="AN946" s="26"/>
      <c r="AO946" s="26"/>
      <c r="AP946" s="26"/>
      <c r="AQ946" s="26"/>
      <c r="AR946" s="26"/>
      <c r="AS946" s="26"/>
      <c r="AT946" s="26"/>
      <c r="AU946" s="26"/>
      <c r="AV946" s="26"/>
      <c r="AW946" s="26"/>
      <c r="AX946" s="26"/>
      <c r="AY946" s="26"/>
    </row>
    <row r="947" spans="2:51">
      <c r="S947" s="26"/>
      <c r="T947" s="26"/>
      <c r="U947" s="26"/>
      <c r="V947" s="26"/>
      <c r="W947" s="26"/>
      <c r="X947" s="26"/>
      <c r="Y947" s="26"/>
      <c r="Z947" s="26"/>
      <c r="AA947" s="26"/>
      <c r="AB947" s="26"/>
      <c r="AC947" s="26"/>
      <c r="AD947" s="26"/>
      <c r="AE947" s="26"/>
      <c r="AF947" s="26"/>
      <c r="AG947" s="26"/>
      <c r="AH947" s="26"/>
      <c r="AI947" s="26"/>
      <c r="AJ947" s="26"/>
      <c r="AK947" s="26"/>
      <c r="AL947" s="26"/>
      <c r="AM947" s="26"/>
      <c r="AN947" s="26"/>
      <c r="AO947" s="26"/>
      <c r="AP947" s="26"/>
      <c r="AQ947" s="26"/>
      <c r="AR947" s="26"/>
      <c r="AS947" s="26"/>
      <c r="AT947" s="26"/>
      <c r="AU947" s="26"/>
      <c r="AV947" s="26"/>
      <c r="AW947" s="26"/>
      <c r="AX947" s="26"/>
      <c r="AY947" s="26"/>
    </row>
    <row r="948" spans="2:51">
      <c r="S948" s="26"/>
      <c r="T948" s="26"/>
      <c r="U948" s="26"/>
      <c r="V948" s="26"/>
      <c r="W948" s="26"/>
      <c r="X948" s="26"/>
      <c r="Y948" s="26"/>
      <c r="Z948" s="26"/>
      <c r="AA948" s="26"/>
      <c r="AB948" s="26"/>
      <c r="AC948" s="26"/>
      <c r="AD948" s="26"/>
      <c r="AE948" s="26"/>
      <c r="AF948" s="26"/>
      <c r="AG948" s="26"/>
      <c r="AH948" s="26"/>
      <c r="AI948" s="26"/>
      <c r="AJ948" s="26"/>
      <c r="AK948" s="26"/>
      <c r="AL948" s="26"/>
      <c r="AM948" s="26"/>
      <c r="AN948" s="26"/>
      <c r="AO948" s="26"/>
      <c r="AP948" s="26"/>
      <c r="AQ948" s="26"/>
      <c r="AR948" s="26"/>
      <c r="AS948" s="26"/>
      <c r="AT948" s="26"/>
      <c r="AU948" s="26"/>
      <c r="AV948" s="26"/>
      <c r="AW948" s="26"/>
      <c r="AX948" s="26"/>
      <c r="AY948" s="26"/>
    </row>
    <row r="949" spans="2:51">
      <c r="S949" s="26"/>
      <c r="T949" s="26"/>
      <c r="U949" s="26"/>
      <c r="V949" s="26"/>
      <c r="W949" s="26"/>
      <c r="X949" s="26"/>
      <c r="Y949" s="26"/>
      <c r="Z949" s="26"/>
      <c r="AA949" s="26"/>
      <c r="AB949" s="26"/>
      <c r="AC949" s="26"/>
      <c r="AD949" s="26"/>
      <c r="AE949" s="26"/>
      <c r="AF949" s="26"/>
      <c r="AG949" s="26"/>
      <c r="AH949" s="26"/>
      <c r="AI949" s="26"/>
      <c r="AJ949" s="26"/>
      <c r="AK949" s="26"/>
      <c r="AL949" s="26"/>
      <c r="AM949" s="26"/>
      <c r="AN949" s="26"/>
      <c r="AO949" s="26"/>
      <c r="AP949" s="26"/>
      <c r="AQ949" s="26"/>
      <c r="AR949" s="26"/>
      <c r="AS949" s="26"/>
      <c r="AT949" s="26"/>
      <c r="AU949" s="26"/>
      <c r="AV949" s="26"/>
      <c r="AW949" s="26"/>
      <c r="AX949" s="26"/>
      <c r="AY949" s="26"/>
    </row>
    <row r="950" spans="2:51">
      <c r="S950" s="26"/>
      <c r="T950" s="26"/>
      <c r="U950" s="26"/>
      <c r="V950" s="26"/>
      <c r="W950" s="26"/>
      <c r="X950" s="26"/>
      <c r="Y950" s="26"/>
      <c r="Z950" s="26"/>
      <c r="AA950" s="26"/>
      <c r="AB950" s="26"/>
      <c r="AC950" s="26"/>
      <c r="AD950" s="26"/>
      <c r="AE950" s="26"/>
      <c r="AF950" s="26"/>
      <c r="AG950" s="26"/>
      <c r="AH950" s="26"/>
      <c r="AI950" s="26"/>
      <c r="AJ950" s="26"/>
      <c r="AK950" s="26"/>
      <c r="AL950" s="26"/>
      <c r="AM950" s="26"/>
      <c r="AN950" s="26"/>
      <c r="AO950" s="26"/>
      <c r="AP950" s="26"/>
      <c r="AQ950" s="26"/>
      <c r="AR950" s="26"/>
      <c r="AS950" s="26"/>
      <c r="AT950" s="26"/>
      <c r="AU950" s="26"/>
      <c r="AV950" s="26"/>
      <c r="AW950" s="26"/>
      <c r="AX950" s="26"/>
      <c r="AY950" s="26"/>
    </row>
    <row r="951" spans="2:51">
      <c r="S951" s="26"/>
      <c r="T951" s="26"/>
      <c r="U951" s="26"/>
      <c r="V951" s="26"/>
      <c r="W951" s="26"/>
      <c r="X951" s="26"/>
      <c r="Y951" s="26"/>
      <c r="Z951" s="26"/>
      <c r="AA951" s="26"/>
      <c r="AB951" s="26"/>
      <c r="AC951" s="26"/>
      <c r="AD951" s="26"/>
      <c r="AE951" s="26"/>
      <c r="AF951" s="26"/>
      <c r="AG951" s="26"/>
      <c r="AH951" s="26"/>
      <c r="AI951" s="26"/>
      <c r="AJ951" s="26"/>
      <c r="AK951" s="26"/>
      <c r="AL951" s="26"/>
      <c r="AM951" s="26"/>
      <c r="AN951" s="26"/>
      <c r="AO951" s="26"/>
      <c r="AP951" s="26"/>
      <c r="AQ951" s="26"/>
      <c r="AR951" s="26"/>
      <c r="AS951" s="26"/>
      <c r="AT951" s="26"/>
      <c r="AU951" s="26"/>
      <c r="AV951" s="26"/>
      <c r="AW951" s="26"/>
      <c r="AX951" s="26"/>
      <c r="AY951" s="26"/>
    </row>
    <row r="952" spans="2:51">
      <c r="S952" s="26"/>
      <c r="T952" s="26"/>
      <c r="U952" s="26"/>
      <c r="V952" s="26"/>
      <c r="W952" s="26"/>
      <c r="X952" s="26"/>
      <c r="Y952" s="26"/>
      <c r="Z952" s="26"/>
      <c r="AA952" s="26"/>
      <c r="AB952" s="26"/>
      <c r="AC952" s="26"/>
      <c r="AD952" s="26"/>
      <c r="AE952" s="26"/>
      <c r="AF952" s="26"/>
      <c r="AG952" s="26"/>
      <c r="AH952" s="26"/>
      <c r="AI952" s="26"/>
      <c r="AJ952" s="26"/>
      <c r="AK952" s="26"/>
      <c r="AL952" s="26"/>
      <c r="AM952" s="26"/>
      <c r="AN952" s="26"/>
      <c r="AO952" s="26"/>
      <c r="AP952" s="26"/>
      <c r="AQ952" s="26"/>
      <c r="AR952" s="26"/>
      <c r="AS952" s="26"/>
      <c r="AT952" s="26"/>
      <c r="AU952" s="26"/>
      <c r="AV952" s="26"/>
      <c r="AW952" s="26"/>
      <c r="AX952" s="26"/>
      <c r="AY952" s="26"/>
    </row>
    <row r="953" spans="2:51">
      <c r="S953" s="26"/>
      <c r="T953" s="26"/>
      <c r="U953" s="26"/>
      <c r="V953" s="26"/>
      <c r="W953" s="26"/>
      <c r="X953" s="26"/>
      <c r="Y953" s="26"/>
      <c r="Z953" s="26"/>
      <c r="AA953" s="26"/>
      <c r="AB953" s="26"/>
      <c r="AC953" s="26"/>
      <c r="AD953" s="26"/>
      <c r="AE953" s="26"/>
      <c r="AF953" s="26"/>
      <c r="AG953" s="26"/>
      <c r="AH953" s="26"/>
      <c r="AI953" s="26"/>
      <c r="AJ953" s="26"/>
      <c r="AK953" s="26"/>
      <c r="AL953" s="26"/>
      <c r="AM953" s="26"/>
      <c r="AN953" s="26"/>
      <c r="AO953" s="26"/>
      <c r="AP953" s="26"/>
      <c r="AQ953" s="26"/>
      <c r="AR953" s="26"/>
      <c r="AS953" s="26"/>
      <c r="AT953" s="26"/>
      <c r="AU953" s="26"/>
      <c r="AV953" s="26"/>
      <c r="AW953" s="26"/>
      <c r="AX953" s="26"/>
      <c r="AY953" s="26"/>
    </row>
    <row r="954" spans="2:51">
      <c r="B954" s="59" t="s">
        <v>234</v>
      </c>
      <c r="S954" s="26"/>
      <c r="T954" s="26"/>
      <c r="U954" s="26"/>
      <c r="V954" s="26"/>
      <c r="W954" s="26"/>
      <c r="X954" s="26"/>
      <c r="Y954" s="26"/>
      <c r="Z954" s="26"/>
      <c r="AA954" s="26"/>
      <c r="AB954" s="26"/>
      <c r="AC954" s="26"/>
      <c r="AD954" s="26"/>
      <c r="AE954" s="26"/>
      <c r="AF954" s="26"/>
      <c r="AG954" s="26"/>
      <c r="AH954" s="26"/>
      <c r="AI954" s="26"/>
      <c r="AJ954" s="26"/>
      <c r="AK954" s="26"/>
      <c r="AL954" s="26"/>
      <c r="AM954" s="26"/>
      <c r="AN954" s="26"/>
      <c r="AO954" s="26"/>
      <c r="AP954" s="26"/>
      <c r="AQ954" s="26"/>
      <c r="AR954" s="26"/>
      <c r="AS954" s="26"/>
      <c r="AT954" s="26"/>
      <c r="AU954" s="26"/>
      <c r="AV954" s="26"/>
      <c r="AW954" s="26"/>
      <c r="AX954" s="26"/>
      <c r="AY954" s="26"/>
    </row>
    <row r="955" spans="2:51">
      <c r="S955" s="26"/>
      <c r="T955" s="26"/>
      <c r="U955" s="26"/>
      <c r="V955" s="26"/>
      <c r="W955" s="26"/>
      <c r="X955" s="26"/>
      <c r="Y955" s="26"/>
      <c r="Z955" s="26"/>
      <c r="AA955" s="26"/>
      <c r="AB955" s="26"/>
      <c r="AC955" s="26"/>
      <c r="AD955" s="26"/>
      <c r="AE955" s="26"/>
      <c r="AF955" s="26"/>
      <c r="AG955" s="26"/>
      <c r="AH955" s="26"/>
      <c r="AI955" s="26"/>
      <c r="AJ955" s="26"/>
      <c r="AK955" s="26"/>
      <c r="AL955" s="26"/>
      <c r="AM955" s="26"/>
      <c r="AN955" s="26"/>
      <c r="AO955" s="26"/>
      <c r="AP955" s="26"/>
      <c r="AQ955" s="26"/>
      <c r="AR955" s="26"/>
      <c r="AS955" s="26"/>
      <c r="AT955" s="26"/>
      <c r="AU955" s="26"/>
      <c r="AV955" s="26"/>
      <c r="AW955" s="26"/>
      <c r="AX955" s="26"/>
      <c r="AY955" s="26"/>
    </row>
    <row r="956" spans="2:51">
      <c r="S956" s="26"/>
      <c r="T956" s="26"/>
      <c r="U956" s="26"/>
      <c r="V956" s="26"/>
      <c r="W956" s="26"/>
      <c r="X956" s="26"/>
      <c r="Y956" s="26"/>
      <c r="Z956" s="26"/>
      <c r="AA956" s="26"/>
      <c r="AB956" s="26"/>
      <c r="AC956" s="26"/>
      <c r="AD956" s="26"/>
      <c r="AE956" s="26"/>
      <c r="AF956" s="26"/>
      <c r="AG956" s="26"/>
      <c r="AH956" s="26"/>
      <c r="AI956" s="26"/>
      <c r="AJ956" s="26"/>
      <c r="AK956" s="26"/>
      <c r="AL956" s="26"/>
      <c r="AM956" s="26"/>
      <c r="AN956" s="26"/>
      <c r="AO956" s="26"/>
      <c r="AP956" s="26"/>
      <c r="AQ956" s="26"/>
      <c r="AR956" s="26"/>
      <c r="AS956" s="26"/>
      <c r="AT956" s="26"/>
      <c r="AU956" s="26"/>
      <c r="AV956" s="26"/>
      <c r="AW956" s="26"/>
      <c r="AX956" s="26"/>
      <c r="AY956" s="26"/>
    </row>
    <row r="957" spans="2:51">
      <c r="S957" s="26"/>
      <c r="T957" s="26"/>
      <c r="U957" s="26"/>
      <c r="V957" s="26"/>
      <c r="W957" s="26"/>
      <c r="X957" s="26"/>
      <c r="Y957" s="26"/>
      <c r="Z957" s="26"/>
      <c r="AA957" s="26"/>
      <c r="AB957" s="26"/>
      <c r="AC957" s="26"/>
      <c r="AD957" s="26"/>
      <c r="AE957" s="26"/>
      <c r="AF957" s="26"/>
      <c r="AG957" s="26"/>
      <c r="AH957" s="26"/>
      <c r="AI957" s="26"/>
      <c r="AJ957" s="26"/>
      <c r="AK957" s="26"/>
      <c r="AL957" s="26"/>
      <c r="AM957" s="26"/>
      <c r="AN957" s="26"/>
      <c r="AO957" s="26"/>
      <c r="AP957" s="26"/>
      <c r="AQ957" s="26"/>
      <c r="AR957" s="26"/>
      <c r="AS957" s="26"/>
      <c r="AT957" s="26"/>
      <c r="AU957" s="26"/>
      <c r="AV957" s="26"/>
      <c r="AW957" s="26"/>
      <c r="AX957" s="26"/>
      <c r="AY957" s="26"/>
    </row>
    <row r="958" spans="2:51">
      <c r="S958" s="26"/>
      <c r="T958" s="26"/>
      <c r="U958" s="26"/>
      <c r="V958" s="26"/>
      <c r="W958" s="26"/>
      <c r="X958" s="26"/>
      <c r="Y958" s="26"/>
      <c r="Z958" s="26"/>
      <c r="AA958" s="26"/>
      <c r="AB958" s="26"/>
      <c r="AC958" s="26"/>
      <c r="AD958" s="26"/>
      <c r="AE958" s="26"/>
      <c r="AF958" s="26"/>
      <c r="AG958" s="26"/>
      <c r="AH958" s="26"/>
      <c r="AI958" s="26"/>
      <c r="AJ958" s="26"/>
      <c r="AK958" s="26"/>
      <c r="AL958" s="26"/>
      <c r="AM958" s="26"/>
      <c r="AN958" s="26"/>
      <c r="AO958" s="26"/>
      <c r="AP958" s="26"/>
      <c r="AQ958" s="26"/>
      <c r="AR958" s="26"/>
      <c r="AS958" s="26"/>
      <c r="AT958" s="26"/>
      <c r="AU958" s="26"/>
      <c r="AV958" s="26"/>
      <c r="AW958" s="26"/>
      <c r="AX958" s="26"/>
      <c r="AY958" s="26"/>
    </row>
    <row r="959" spans="2:51">
      <c r="S959" s="26"/>
      <c r="T959" s="26"/>
      <c r="U959" s="26"/>
      <c r="V959" s="26"/>
      <c r="W959" s="26"/>
      <c r="X959" s="26"/>
      <c r="Y959" s="26"/>
      <c r="Z959" s="26"/>
      <c r="AA959" s="26"/>
      <c r="AB959" s="26"/>
      <c r="AC959" s="26"/>
      <c r="AD959" s="26"/>
      <c r="AE959" s="26"/>
      <c r="AF959" s="26"/>
      <c r="AG959" s="26"/>
      <c r="AH959" s="26"/>
      <c r="AI959" s="26"/>
      <c r="AJ959" s="26"/>
      <c r="AK959" s="26"/>
      <c r="AL959" s="26"/>
      <c r="AM959" s="26"/>
      <c r="AN959" s="26"/>
      <c r="AO959" s="26"/>
      <c r="AP959" s="26"/>
      <c r="AQ959" s="26"/>
      <c r="AR959" s="26"/>
      <c r="AS959" s="26"/>
      <c r="AT959" s="26"/>
      <c r="AU959" s="26"/>
      <c r="AV959" s="26"/>
      <c r="AW959" s="26"/>
      <c r="AX959" s="26"/>
      <c r="AY959" s="26"/>
    </row>
    <row r="960" spans="2:51">
      <c r="S960" s="26"/>
      <c r="T960" s="26"/>
      <c r="U960" s="26"/>
      <c r="V960" s="26"/>
      <c r="W960" s="26"/>
      <c r="X960" s="26"/>
      <c r="Y960" s="26"/>
      <c r="Z960" s="26"/>
      <c r="AA960" s="26"/>
      <c r="AB960" s="26"/>
      <c r="AC960" s="26"/>
      <c r="AD960" s="26"/>
      <c r="AE960" s="26"/>
      <c r="AF960" s="26"/>
      <c r="AG960" s="26"/>
      <c r="AH960" s="26"/>
      <c r="AI960" s="26"/>
      <c r="AJ960" s="26"/>
      <c r="AK960" s="26"/>
      <c r="AL960" s="26"/>
      <c r="AM960" s="26"/>
      <c r="AN960" s="26"/>
      <c r="AO960" s="26"/>
      <c r="AP960" s="26"/>
      <c r="AQ960" s="26"/>
      <c r="AR960" s="26"/>
      <c r="AS960" s="26"/>
      <c r="AT960" s="26"/>
      <c r="AU960" s="26"/>
      <c r="AV960" s="26"/>
      <c r="AW960" s="26"/>
      <c r="AX960" s="26"/>
      <c r="AY960" s="26"/>
    </row>
    <row r="961" spans="19:51">
      <c r="S961" s="26"/>
      <c r="T961" s="26"/>
      <c r="U961" s="26"/>
      <c r="V961" s="26"/>
      <c r="W961" s="26"/>
      <c r="X961" s="26"/>
      <c r="Y961" s="26"/>
      <c r="Z961" s="26"/>
      <c r="AA961" s="26"/>
      <c r="AB961" s="26"/>
      <c r="AC961" s="26"/>
      <c r="AD961" s="26"/>
      <c r="AE961" s="26"/>
      <c r="AF961" s="26"/>
      <c r="AG961" s="26"/>
      <c r="AH961" s="26"/>
      <c r="AI961" s="26"/>
      <c r="AJ961" s="26"/>
      <c r="AK961" s="26"/>
      <c r="AL961" s="26"/>
      <c r="AM961" s="26"/>
      <c r="AN961" s="26"/>
      <c r="AO961" s="26"/>
      <c r="AP961" s="26"/>
      <c r="AQ961" s="26"/>
      <c r="AR961" s="26"/>
      <c r="AS961" s="26"/>
      <c r="AT961" s="26"/>
      <c r="AU961" s="26"/>
      <c r="AV961" s="26"/>
      <c r="AW961" s="26"/>
      <c r="AX961" s="26"/>
      <c r="AY961" s="26"/>
    </row>
    <row r="962" spans="19:51">
      <c r="S962" s="26"/>
      <c r="T962" s="26"/>
      <c r="U962" s="26"/>
      <c r="V962" s="26"/>
      <c r="W962" s="26"/>
      <c r="X962" s="26"/>
      <c r="Y962" s="26"/>
      <c r="Z962" s="26"/>
      <c r="AA962" s="26"/>
      <c r="AB962" s="26"/>
      <c r="AC962" s="26"/>
      <c r="AD962" s="26"/>
      <c r="AE962" s="26"/>
      <c r="AF962" s="26"/>
      <c r="AG962" s="26"/>
      <c r="AH962" s="26"/>
      <c r="AI962" s="26"/>
      <c r="AJ962" s="26"/>
      <c r="AK962" s="26"/>
      <c r="AL962" s="26"/>
      <c r="AM962" s="26"/>
      <c r="AN962" s="26"/>
      <c r="AO962" s="26"/>
      <c r="AP962" s="26"/>
      <c r="AQ962" s="26"/>
      <c r="AR962" s="26"/>
      <c r="AS962" s="26"/>
      <c r="AT962" s="26"/>
      <c r="AU962" s="26"/>
      <c r="AV962" s="26"/>
      <c r="AW962" s="26"/>
      <c r="AX962" s="26"/>
      <c r="AY962" s="26"/>
    </row>
    <row r="963" spans="19:51">
      <c r="S963" s="26"/>
      <c r="T963" s="26"/>
      <c r="U963" s="26"/>
      <c r="V963" s="26"/>
      <c r="W963" s="26"/>
      <c r="X963" s="26"/>
      <c r="Y963" s="26"/>
      <c r="Z963" s="26"/>
      <c r="AA963" s="26"/>
      <c r="AB963" s="26"/>
      <c r="AC963" s="26"/>
      <c r="AD963" s="26"/>
      <c r="AE963" s="26"/>
      <c r="AF963" s="26"/>
      <c r="AG963" s="26"/>
      <c r="AH963" s="26"/>
      <c r="AI963" s="26"/>
      <c r="AJ963" s="26"/>
      <c r="AK963" s="26"/>
      <c r="AL963" s="26"/>
      <c r="AM963" s="26"/>
      <c r="AN963" s="26"/>
      <c r="AO963" s="26"/>
      <c r="AP963" s="26"/>
      <c r="AQ963" s="26"/>
      <c r="AR963" s="26"/>
      <c r="AS963" s="26"/>
      <c r="AT963" s="26"/>
      <c r="AU963" s="26"/>
      <c r="AV963" s="26"/>
      <c r="AW963" s="26"/>
      <c r="AX963" s="26"/>
      <c r="AY963" s="26"/>
    </row>
    <row r="964" spans="19:51">
      <c r="S964" s="26"/>
      <c r="T964" s="26"/>
      <c r="U964" s="26"/>
      <c r="V964" s="26"/>
      <c r="W964" s="26"/>
      <c r="X964" s="26"/>
      <c r="Y964" s="26"/>
      <c r="Z964" s="26"/>
      <c r="AA964" s="26"/>
      <c r="AB964" s="26"/>
      <c r="AC964" s="26"/>
      <c r="AD964" s="26"/>
      <c r="AE964" s="26"/>
      <c r="AF964" s="26"/>
      <c r="AG964" s="26"/>
      <c r="AH964" s="26"/>
      <c r="AI964" s="26"/>
      <c r="AJ964" s="26"/>
      <c r="AK964" s="26"/>
      <c r="AL964" s="26"/>
      <c r="AM964" s="26"/>
      <c r="AN964" s="26"/>
      <c r="AO964" s="26"/>
      <c r="AP964" s="26"/>
      <c r="AQ964" s="26"/>
      <c r="AR964" s="26"/>
      <c r="AS964" s="26"/>
      <c r="AT964" s="26"/>
      <c r="AU964" s="26"/>
      <c r="AV964" s="26"/>
      <c r="AW964" s="26"/>
      <c r="AX964" s="26"/>
      <c r="AY964" s="26"/>
    </row>
    <row r="965" spans="19:51">
      <c r="S965" s="26"/>
      <c r="T965" s="26"/>
      <c r="U965" s="26"/>
      <c r="V965" s="26"/>
      <c r="W965" s="26"/>
      <c r="X965" s="26"/>
      <c r="Y965" s="26"/>
      <c r="Z965" s="26"/>
      <c r="AA965" s="26"/>
      <c r="AB965" s="26"/>
      <c r="AC965" s="26"/>
      <c r="AD965" s="26"/>
      <c r="AE965" s="26"/>
      <c r="AF965" s="26"/>
      <c r="AG965" s="26"/>
      <c r="AH965" s="26"/>
      <c r="AI965" s="26"/>
      <c r="AJ965" s="26"/>
      <c r="AK965" s="26"/>
      <c r="AL965" s="26"/>
      <c r="AM965" s="26"/>
      <c r="AN965" s="26"/>
      <c r="AO965" s="26"/>
      <c r="AP965" s="26"/>
      <c r="AQ965" s="26"/>
      <c r="AR965" s="26"/>
      <c r="AS965" s="26"/>
      <c r="AT965" s="26"/>
      <c r="AU965" s="26"/>
      <c r="AV965" s="26"/>
      <c r="AW965" s="26"/>
      <c r="AX965" s="26"/>
      <c r="AY965" s="26"/>
    </row>
    <row r="966" spans="19:51">
      <c r="S966" s="26"/>
      <c r="T966" s="26"/>
      <c r="U966" s="26"/>
      <c r="V966" s="26"/>
      <c r="W966" s="26"/>
      <c r="X966" s="26"/>
      <c r="Y966" s="26"/>
      <c r="Z966" s="26"/>
      <c r="AA966" s="26"/>
      <c r="AB966" s="26"/>
      <c r="AC966" s="26"/>
      <c r="AD966" s="26"/>
      <c r="AE966" s="26"/>
      <c r="AF966" s="26"/>
      <c r="AG966" s="26"/>
      <c r="AH966" s="26"/>
      <c r="AI966" s="26"/>
      <c r="AJ966" s="26"/>
      <c r="AK966" s="26"/>
      <c r="AL966" s="26"/>
      <c r="AM966" s="26"/>
      <c r="AN966" s="26"/>
      <c r="AO966" s="26"/>
      <c r="AP966" s="26"/>
      <c r="AQ966" s="26"/>
      <c r="AR966" s="26"/>
      <c r="AS966" s="26"/>
      <c r="AT966" s="26"/>
      <c r="AU966" s="26"/>
      <c r="AV966" s="26"/>
      <c r="AW966" s="26"/>
      <c r="AX966" s="26"/>
      <c r="AY966" s="26"/>
    </row>
    <row r="967" spans="19:51">
      <c r="S967" s="26"/>
      <c r="T967" s="26"/>
      <c r="U967" s="26"/>
      <c r="V967" s="26"/>
      <c r="W967" s="26"/>
      <c r="X967" s="26"/>
      <c r="Y967" s="26"/>
      <c r="Z967" s="26"/>
      <c r="AA967" s="26"/>
      <c r="AB967" s="26"/>
      <c r="AC967" s="26"/>
      <c r="AD967" s="26"/>
      <c r="AE967" s="26"/>
      <c r="AF967" s="26"/>
      <c r="AG967" s="26"/>
      <c r="AH967" s="26"/>
      <c r="AI967" s="26"/>
      <c r="AJ967" s="26"/>
      <c r="AK967" s="26"/>
      <c r="AL967" s="26"/>
      <c r="AM967" s="26"/>
      <c r="AN967" s="26"/>
      <c r="AO967" s="26"/>
      <c r="AP967" s="26"/>
      <c r="AQ967" s="26"/>
      <c r="AR967" s="26"/>
      <c r="AS967" s="26"/>
      <c r="AT967" s="26"/>
      <c r="AU967" s="26"/>
      <c r="AV967" s="26"/>
      <c r="AW967" s="26"/>
      <c r="AX967" s="26"/>
      <c r="AY967" s="26"/>
    </row>
    <row r="968" spans="19:51">
      <c r="S968" s="26"/>
      <c r="T968" s="26"/>
      <c r="U968" s="26"/>
      <c r="V968" s="26"/>
      <c r="W968" s="26"/>
      <c r="X968" s="26"/>
      <c r="Y968" s="26"/>
      <c r="Z968" s="26"/>
      <c r="AA968" s="26"/>
      <c r="AB968" s="26"/>
      <c r="AC968" s="26"/>
      <c r="AD968" s="26"/>
      <c r="AE968" s="26"/>
      <c r="AF968" s="26"/>
      <c r="AG968" s="26"/>
      <c r="AH968" s="26"/>
      <c r="AI968" s="26"/>
      <c r="AJ968" s="26"/>
      <c r="AK968" s="26"/>
      <c r="AL968" s="26"/>
      <c r="AM968" s="26"/>
      <c r="AN968" s="26"/>
      <c r="AO968" s="26"/>
      <c r="AP968" s="26"/>
      <c r="AQ968" s="26"/>
      <c r="AR968" s="26"/>
      <c r="AS968" s="26"/>
      <c r="AT968" s="26"/>
      <c r="AU968" s="26"/>
      <c r="AV968" s="26"/>
      <c r="AW968" s="26"/>
      <c r="AX968" s="26"/>
      <c r="AY968" s="26"/>
    </row>
    <row r="969" spans="19:51">
      <c r="S969" s="26"/>
      <c r="T969" s="26"/>
      <c r="U969" s="26"/>
      <c r="V969" s="26"/>
      <c r="W969" s="26"/>
      <c r="X969" s="26"/>
      <c r="Y969" s="26"/>
      <c r="Z969" s="26"/>
      <c r="AA969" s="26"/>
      <c r="AB969" s="26"/>
      <c r="AC969" s="26"/>
      <c r="AD969" s="26"/>
      <c r="AE969" s="26"/>
      <c r="AF969" s="26"/>
      <c r="AG969" s="26"/>
      <c r="AH969" s="26"/>
      <c r="AI969" s="26"/>
      <c r="AJ969" s="26"/>
      <c r="AK969" s="26"/>
      <c r="AL969" s="26"/>
      <c r="AM969" s="26"/>
      <c r="AN969" s="26"/>
      <c r="AO969" s="26"/>
      <c r="AP969" s="26"/>
      <c r="AQ969" s="26"/>
      <c r="AR969" s="26"/>
      <c r="AS969" s="26"/>
      <c r="AT969" s="26"/>
      <c r="AU969" s="26"/>
      <c r="AV969" s="26"/>
      <c r="AW969" s="26"/>
      <c r="AX969" s="26"/>
      <c r="AY969" s="26"/>
    </row>
    <row r="970" spans="19:51">
      <c r="S970" s="26"/>
      <c r="T970" s="26"/>
      <c r="U970" s="26"/>
      <c r="V970" s="26"/>
      <c r="W970" s="26"/>
      <c r="X970" s="26"/>
      <c r="Y970" s="26"/>
      <c r="Z970" s="26"/>
      <c r="AA970" s="26"/>
      <c r="AB970" s="26"/>
      <c r="AC970" s="26"/>
      <c r="AD970" s="26"/>
      <c r="AE970" s="26"/>
      <c r="AF970" s="26"/>
      <c r="AG970" s="26"/>
      <c r="AH970" s="26"/>
      <c r="AI970" s="26"/>
      <c r="AJ970" s="26"/>
      <c r="AK970" s="26"/>
      <c r="AL970" s="26"/>
      <c r="AM970" s="26"/>
      <c r="AN970" s="26"/>
      <c r="AO970" s="26"/>
      <c r="AP970" s="26"/>
      <c r="AQ970" s="26"/>
      <c r="AR970" s="26"/>
      <c r="AS970" s="26"/>
      <c r="AT970" s="26"/>
      <c r="AU970" s="26"/>
      <c r="AV970" s="26"/>
      <c r="AW970" s="26"/>
      <c r="AX970" s="26"/>
      <c r="AY970" s="26"/>
    </row>
    <row r="971" spans="19:51">
      <c r="S971" s="26"/>
      <c r="T971" s="26"/>
      <c r="U971" s="26"/>
      <c r="V971" s="26"/>
      <c r="W971" s="26"/>
      <c r="X971" s="26"/>
      <c r="Y971" s="26"/>
      <c r="Z971" s="26"/>
      <c r="AA971" s="26"/>
      <c r="AB971" s="26"/>
      <c r="AC971" s="26"/>
      <c r="AD971" s="26"/>
      <c r="AE971" s="26"/>
      <c r="AF971" s="26"/>
      <c r="AG971" s="26"/>
      <c r="AH971" s="26"/>
      <c r="AI971" s="26"/>
      <c r="AJ971" s="26"/>
      <c r="AK971" s="26"/>
      <c r="AL971" s="26"/>
      <c r="AM971" s="26"/>
      <c r="AN971" s="26"/>
      <c r="AO971" s="26"/>
      <c r="AP971" s="26"/>
      <c r="AQ971" s="26"/>
      <c r="AR971" s="26"/>
      <c r="AS971" s="26"/>
      <c r="AT971" s="26"/>
      <c r="AU971" s="26"/>
      <c r="AV971" s="26"/>
      <c r="AW971" s="26"/>
      <c r="AX971" s="26"/>
      <c r="AY971" s="26"/>
    </row>
    <row r="972" spans="19:51">
      <c r="S972" s="26"/>
      <c r="T972" s="26"/>
      <c r="U972" s="26"/>
      <c r="V972" s="26"/>
      <c r="W972" s="26"/>
      <c r="X972" s="26"/>
      <c r="Y972" s="26"/>
      <c r="Z972" s="26"/>
      <c r="AA972" s="26"/>
      <c r="AB972" s="26"/>
      <c r="AC972" s="26"/>
      <c r="AD972" s="26"/>
      <c r="AE972" s="26"/>
      <c r="AF972" s="26"/>
      <c r="AG972" s="26"/>
      <c r="AH972" s="26"/>
      <c r="AI972" s="26"/>
      <c r="AJ972" s="26"/>
      <c r="AK972" s="26"/>
      <c r="AL972" s="26"/>
      <c r="AM972" s="26"/>
      <c r="AN972" s="26"/>
      <c r="AO972" s="26"/>
      <c r="AP972" s="26"/>
      <c r="AQ972" s="26"/>
      <c r="AR972" s="26"/>
      <c r="AS972" s="26"/>
      <c r="AT972" s="26"/>
      <c r="AU972" s="26"/>
      <c r="AV972" s="26"/>
      <c r="AW972" s="26"/>
      <c r="AX972" s="26"/>
      <c r="AY972" s="26"/>
    </row>
    <row r="973" spans="19:51">
      <c r="S973" s="26"/>
      <c r="T973" s="26"/>
      <c r="U973" s="26"/>
      <c r="V973" s="26"/>
      <c r="W973" s="26"/>
      <c r="X973" s="26"/>
      <c r="Y973" s="26"/>
      <c r="Z973" s="26"/>
      <c r="AA973" s="26"/>
      <c r="AB973" s="26"/>
      <c r="AC973" s="26"/>
      <c r="AD973" s="26"/>
      <c r="AE973" s="26"/>
      <c r="AF973" s="26"/>
      <c r="AG973" s="26"/>
      <c r="AH973" s="26"/>
      <c r="AI973" s="26"/>
      <c r="AJ973" s="26"/>
      <c r="AK973" s="26"/>
      <c r="AL973" s="26"/>
      <c r="AM973" s="26"/>
      <c r="AN973" s="26"/>
      <c r="AO973" s="26"/>
      <c r="AP973" s="26"/>
      <c r="AQ973" s="26"/>
      <c r="AR973" s="26"/>
      <c r="AS973" s="26"/>
      <c r="AT973" s="26"/>
      <c r="AU973" s="26"/>
      <c r="AV973" s="26"/>
      <c r="AW973" s="26"/>
      <c r="AX973" s="26"/>
      <c r="AY973" s="26"/>
    </row>
    <row r="974" spans="19:51">
      <c r="S974" s="26"/>
      <c r="T974" s="26"/>
      <c r="U974" s="26"/>
      <c r="V974" s="26"/>
      <c r="W974" s="26"/>
      <c r="X974" s="26"/>
      <c r="Y974" s="26"/>
      <c r="Z974" s="26"/>
      <c r="AA974" s="26"/>
      <c r="AB974" s="26"/>
      <c r="AC974" s="26"/>
      <c r="AD974" s="26"/>
      <c r="AE974" s="26"/>
      <c r="AF974" s="26"/>
      <c r="AG974" s="26"/>
      <c r="AH974" s="26"/>
      <c r="AI974" s="26"/>
      <c r="AJ974" s="26"/>
      <c r="AK974" s="26"/>
      <c r="AL974" s="26"/>
      <c r="AM974" s="26"/>
      <c r="AN974" s="26"/>
      <c r="AO974" s="26"/>
      <c r="AP974" s="26"/>
      <c r="AQ974" s="26"/>
      <c r="AR974" s="26"/>
      <c r="AS974" s="26"/>
      <c r="AT974" s="26"/>
      <c r="AU974" s="26"/>
      <c r="AV974" s="26"/>
      <c r="AW974" s="26"/>
      <c r="AX974" s="26"/>
      <c r="AY974" s="26"/>
    </row>
    <row r="975" spans="19:51">
      <c r="S975" s="26"/>
      <c r="T975" s="26"/>
      <c r="U975" s="26"/>
      <c r="V975" s="26"/>
      <c r="W975" s="26"/>
      <c r="X975" s="26"/>
      <c r="Y975" s="26"/>
      <c r="Z975" s="26"/>
      <c r="AA975" s="26"/>
      <c r="AB975" s="26"/>
      <c r="AC975" s="26"/>
      <c r="AD975" s="26"/>
      <c r="AE975" s="26"/>
      <c r="AF975" s="26"/>
      <c r="AG975" s="26"/>
      <c r="AH975" s="26"/>
      <c r="AI975" s="26"/>
      <c r="AJ975" s="26"/>
      <c r="AK975" s="26"/>
      <c r="AL975" s="26"/>
      <c r="AM975" s="26"/>
      <c r="AN975" s="26"/>
      <c r="AO975" s="26"/>
      <c r="AP975" s="26"/>
      <c r="AQ975" s="26"/>
      <c r="AR975" s="26"/>
      <c r="AS975" s="26"/>
      <c r="AT975" s="26"/>
      <c r="AU975" s="26"/>
      <c r="AV975" s="26"/>
      <c r="AW975" s="26"/>
      <c r="AX975" s="26"/>
      <c r="AY975" s="26"/>
    </row>
    <row r="976" spans="19:51">
      <c r="S976" s="26"/>
      <c r="T976" s="26"/>
      <c r="U976" s="26"/>
      <c r="V976" s="26"/>
      <c r="W976" s="26"/>
      <c r="X976" s="26"/>
      <c r="Y976" s="26"/>
      <c r="Z976" s="26"/>
      <c r="AA976" s="26"/>
      <c r="AB976" s="26"/>
      <c r="AC976" s="26"/>
      <c r="AD976" s="26"/>
      <c r="AE976" s="26"/>
      <c r="AF976" s="26"/>
      <c r="AG976" s="26"/>
      <c r="AH976" s="26"/>
      <c r="AI976" s="26"/>
      <c r="AJ976" s="26"/>
      <c r="AK976" s="26"/>
      <c r="AL976" s="26"/>
      <c r="AM976" s="26"/>
      <c r="AN976" s="26"/>
      <c r="AO976" s="26"/>
      <c r="AP976" s="26"/>
      <c r="AQ976" s="26"/>
      <c r="AR976" s="26"/>
      <c r="AS976" s="26"/>
      <c r="AT976" s="26"/>
      <c r="AU976" s="26"/>
      <c r="AV976" s="26"/>
      <c r="AW976" s="26"/>
      <c r="AX976" s="26"/>
      <c r="AY976" s="26"/>
    </row>
    <row r="977" spans="2:51">
      <c r="S977" s="26"/>
      <c r="T977" s="26"/>
      <c r="U977" s="26"/>
      <c r="V977" s="26"/>
      <c r="W977" s="26"/>
      <c r="X977" s="26"/>
      <c r="Y977" s="26"/>
      <c r="Z977" s="26"/>
      <c r="AA977" s="26"/>
      <c r="AB977" s="26"/>
      <c r="AC977" s="26"/>
      <c r="AD977" s="26"/>
      <c r="AE977" s="26"/>
      <c r="AF977" s="26"/>
      <c r="AG977" s="26"/>
      <c r="AH977" s="26"/>
      <c r="AI977" s="26"/>
      <c r="AJ977" s="26"/>
      <c r="AK977" s="26"/>
      <c r="AL977" s="26"/>
      <c r="AM977" s="26"/>
      <c r="AN977" s="26"/>
      <c r="AO977" s="26"/>
      <c r="AP977" s="26"/>
      <c r="AQ977" s="26"/>
      <c r="AR977" s="26"/>
      <c r="AS977" s="26"/>
      <c r="AT977" s="26"/>
      <c r="AU977" s="26"/>
      <c r="AV977" s="26"/>
      <c r="AW977" s="26"/>
      <c r="AX977" s="26"/>
      <c r="AY977" s="26"/>
    </row>
    <row r="978" spans="2:51">
      <c r="S978" s="26"/>
      <c r="T978" s="26"/>
      <c r="U978" s="26"/>
      <c r="V978" s="26"/>
      <c r="W978" s="26"/>
      <c r="X978" s="26"/>
      <c r="Y978" s="26"/>
      <c r="Z978" s="26"/>
      <c r="AA978" s="26"/>
      <c r="AB978" s="26"/>
      <c r="AC978" s="26"/>
      <c r="AD978" s="26"/>
      <c r="AE978" s="26"/>
      <c r="AF978" s="26"/>
      <c r="AG978" s="26"/>
      <c r="AH978" s="26"/>
      <c r="AI978" s="26"/>
      <c r="AJ978" s="26"/>
      <c r="AK978" s="26"/>
      <c r="AL978" s="26"/>
      <c r="AM978" s="26"/>
      <c r="AN978" s="26"/>
      <c r="AO978" s="26"/>
      <c r="AP978" s="26"/>
      <c r="AQ978" s="26"/>
      <c r="AR978" s="26"/>
      <c r="AS978" s="26"/>
      <c r="AT978" s="26"/>
      <c r="AU978" s="26"/>
      <c r="AV978" s="26"/>
      <c r="AW978" s="26"/>
      <c r="AX978" s="26"/>
      <c r="AY978" s="26"/>
    </row>
    <row r="979" spans="2:51">
      <c r="S979" s="26"/>
      <c r="T979" s="26"/>
      <c r="U979" s="26"/>
      <c r="V979" s="26"/>
      <c r="W979" s="26"/>
      <c r="X979" s="26"/>
      <c r="Y979" s="26"/>
      <c r="Z979" s="26"/>
      <c r="AA979" s="26"/>
      <c r="AB979" s="26"/>
      <c r="AC979" s="26"/>
      <c r="AD979" s="26"/>
      <c r="AE979" s="26"/>
      <c r="AF979" s="26"/>
      <c r="AG979" s="26"/>
      <c r="AH979" s="26"/>
      <c r="AI979" s="26"/>
      <c r="AJ979" s="26"/>
      <c r="AK979" s="26"/>
      <c r="AL979" s="26"/>
      <c r="AM979" s="26"/>
      <c r="AN979" s="26"/>
      <c r="AO979" s="26"/>
      <c r="AP979" s="26"/>
      <c r="AQ979" s="26"/>
      <c r="AR979" s="26"/>
      <c r="AS979" s="26"/>
      <c r="AT979" s="26"/>
      <c r="AU979" s="26"/>
      <c r="AV979" s="26"/>
      <c r="AW979" s="26"/>
      <c r="AX979" s="26"/>
      <c r="AY979" s="26"/>
    </row>
    <row r="980" spans="2:51">
      <c r="S980" s="26"/>
      <c r="T980" s="26"/>
      <c r="U980" s="26"/>
      <c r="V980" s="26"/>
      <c r="W980" s="26"/>
      <c r="X980" s="26"/>
      <c r="Y980" s="26"/>
      <c r="Z980" s="26"/>
      <c r="AA980" s="26"/>
      <c r="AB980" s="26"/>
      <c r="AC980" s="26"/>
      <c r="AD980" s="26"/>
      <c r="AE980" s="26"/>
      <c r="AF980" s="26"/>
      <c r="AG980" s="26"/>
      <c r="AH980" s="26"/>
      <c r="AI980" s="26"/>
      <c r="AJ980" s="26"/>
      <c r="AK980" s="26"/>
      <c r="AL980" s="26"/>
      <c r="AM980" s="26"/>
      <c r="AN980" s="26"/>
      <c r="AO980" s="26"/>
      <c r="AP980" s="26"/>
      <c r="AQ980" s="26"/>
      <c r="AR980" s="26"/>
      <c r="AS980" s="26"/>
      <c r="AT980" s="26"/>
      <c r="AU980" s="26"/>
      <c r="AV980" s="26"/>
      <c r="AW980" s="26"/>
      <c r="AX980" s="26"/>
      <c r="AY980" s="26"/>
    </row>
    <row r="981" spans="2:51">
      <c r="S981" s="26"/>
      <c r="T981" s="26"/>
      <c r="U981" s="26"/>
      <c r="V981" s="26"/>
      <c r="W981" s="26"/>
      <c r="X981" s="26"/>
      <c r="Y981" s="26"/>
      <c r="Z981" s="26"/>
      <c r="AA981" s="26"/>
      <c r="AB981" s="26"/>
      <c r="AC981" s="26"/>
      <c r="AD981" s="26"/>
      <c r="AE981" s="26"/>
      <c r="AF981" s="26"/>
      <c r="AG981" s="26"/>
      <c r="AH981" s="26"/>
      <c r="AI981" s="26"/>
      <c r="AJ981" s="26"/>
      <c r="AK981" s="26"/>
      <c r="AL981" s="26"/>
      <c r="AM981" s="26"/>
      <c r="AN981" s="26"/>
      <c r="AO981" s="26"/>
      <c r="AP981" s="26"/>
      <c r="AQ981" s="26"/>
      <c r="AR981" s="26"/>
      <c r="AS981" s="26"/>
      <c r="AT981" s="26"/>
      <c r="AU981" s="26"/>
      <c r="AV981" s="26"/>
      <c r="AW981" s="26"/>
      <c r="AX981" s="26"/>
      <c r="AY981" s="26"/>
    </row>
    <row r="982" spans="2:51">
      <c r="S982" s="26"/>
      <c r="T982" s="26"/>
      <c r="U982" s="26"/>
      <c r="V982" s="26"/>
      <c r="W982" s="26"/>
      <c r="X982" s="26"/>
      <c r="Y982" s="26"/>
      <c r="Z982" s="26"/>
      <c r="AA982" s="26"/>
      <c r="AB982" s="26"/>
      <c r="AC982" s="26"/>
      <c r="AD982" s="26"/>
      <c r="AE982" s="26"/>
      <c r="AF982" s="26"/>
      <c r="AG982" s="26"/>
      <c r="AH982" s="26"/>
      <c r="AI982" s="26"/>
      <c r="AJ982" s="26"/>
      <c r="AK982" s="26"/>
      <c r="AL982" s="26"/>
      <c r="AM982" s="26"/>
      <c r="AN982" s="26"/>
      <c r="AO982" s="26"/>
      <c r="AP982" s="26"/>
      <c r="AQ982" s="26"/>
      <c r="AR982" s="26"/>
      <c r="AS982" s="26"/>
      <c r="AT982" s="26"/>
      <c r="AU982" s="26"/>
      <c r="AV982" s="26"/>
      <c r="AW982" s="26"/>
      <c r="AX982" s="26"/>
      <c r="AY982" s="26"/>
    </row>
    <row r="983" spans="2:51">
      <c r="S983" s="26"/>
      <c r="T983" s="26"/>
      <c r="U983" s="26"/>
      <c r="V983" s="26"/>
      <c r="W983" s="26"/>
      <c r="X983" s="26"/>
      <c r="Y983" s="26"/>
      <c r="Z983" s="26"/>
      <c r="AA983" s="26"/>
      <c r="AB983" s="26"/>
      <c r="AC983" s="26"/>
      <c r="AD983" s="26"/>
      <c r="AE983" s="26"/>
      <c r="AF983" s="26"/>
      <c r="AG983" s="26"/>
      <c r="AH983" s="26"/>
      <c r="AI983" s="26"/>
      <c r="AJ983" s="26"/>
      <c r="AK983" s="26"/>
      <c r="AL983" s="26"/>
      <c r="AM983" s="26"/>
      <c r="AN983" s="26"/>
      <c r="AO983" s="26"/>
      <c r="AP983" s="26"/>
      <c r="AQ983" s="26"/>
      <c r="AR983" s="26"/>
      <c r="AS983" s="26"/>
      <c r="AT983" s="26"/>
      <c r="AU983" s="26"/>
      <c r="AV983" s="26"/>
      <c r="AW983" s="26"/>
      <c r="AX983" s="26"/>
      <c r="AY983" s="26"/>
    </row>
    <row r="984" spans="2:51">
      <c r="B984" s="59" t="s">
        <v>181</v>
      </c>
      <c r="S984" s="26"/>
      <c r="T984" s="26"/>
      <c r="U984" s="26"/>
      <c r="V984" s="26"/>
      <c r="W984" s="26"/>
      <c r="X984" s="26"/>
      <c r="Y984" s="26"/>
      <c r="Z984" s="26"/>
      <c r="AA984" s="26"/>
      <c r="AB984" s="26"/>
      <c r="AC984" s="26"/>
      <c r="AD984" s="26"/>
      <c r="AE984" s="26"/>
      <c r="AF984" s="26"/>
      <c r="AG984" s="26"/>
      <c r="AH984" s="26"/>
      <c r="AI984" s="26"/>
      <c r="AJ984" s="26"/>
      <c r="AK984" s="26"/>
      <c r="AL984" s="26"/>
      <c r="AM984" s="26"/>
      <c r="AN984" s="26"/>
      <c r="AO984" s="26"/>
      <c r="AP984" s="26"/>
      <c r="AQ984" s="26"/>
      <c r="AR984" s="26"/>
      <c r="AS984" s="26"/>
      <c r="AT984" s="26"/>
      <c r="AU984" s="26"/>
      <c r="AV984" s="26"/>
      <c r="AW984" s="26"/>
      <c r="AX984" s="26"/>
      <c r="AY984" s="26"/>
    </row>
    <row r="985" spans="2:51">
      <c r="S985" s="26"/>
      <c r="T985" s="26"/>
      <c r="U985" s="26"/>
      <c r="V985" s="26"/>
      <c r="W985" s="26"/>
      <c r="X985" s="26"/>
      <c r="Y985" s="26"/>
      <c r="Z985" s="26"/>
      <c r="AA985" s="26"/>
      <c r="AB985" s="26"/>
      <c r="AC985" s="26"/>
      <c r="AD985" s="26"/>
      <c r="AE985" s="26"/>
      <c r="AF985" s="26"/>
      <c r="AG985" s="26"/>
      <c r="AH985" s="26"/>
      <c r="AI985" s="26"/>
      <c r="AJ985" s="26"/>
      <c r="AK985" s="26"/>
      <c r="AL985" s="26"/>
      <c r="AM985" s="26"/>
      <c r="AN985" s="26"/>
      <c r="AO985" s="26"/>
      <c r="AP985" s="26"/>
      <c r="AQ985" s="26"/>
      <c r="AR985" s="26"/>
      <c r="AS985" s="26"/>
      <c r="AT985" s="26"/>
      <c r="AU985" s="26"/>
      <c r="AV985" s="26"/>
      <c r="AW985" s="26"/>
      <c r="AX985" s="26"/>
      <c r="AY985" s="26"/>
    </row>
    <row r="986" spans="2:51">
      <c r="S986" s="26"/>
      <c r="T986" s="26"/>
      <c r="U986" s="26"/>
      <c r="V986" s="26"/>
      <c r="W986" s="26"/>
      <c r="X986" s="26"/>
      <c r="Y986" s="26"/>
      <c r="Z986" s="26"/>
      <c r="AA986" s="26"/>
      <c r="AB986" s="26"/>
      <c r="AC986" s="26"/>
      <c r="AD986" s="26"/>
      <c r="AE986" s="26"/>
      <c r="AF986" s="26"/>
      <c r="AG986" s="26"/>
      <c r="AH986" s="26"/>
      <c r="AI986" s="26"/>
      <c r="AJ986" s="26"/>
      <c r="AK986" s="26"/>
      <c r="AL986" s="26"/>
      <c r="AM986" s="26"/>
      <c r="AN986" s="26"/>
      <c r="AO986" s="26"/>
      <c r="AP986" s="26"/>
      <c r="AQ986" s="26"/>
      <c r="AR986" s="26"/>
      <c r="AS986" s="26"/>
      <c r="AT986" s="26"/>
      <c r="AU986" s="26"/>
      <c r="AV986" s="26"/>
      <c r="AW986" s="26"/>
      <c r="AX986" s="26"/>
      <c r="AY986" s="26"/>
    </row>
    <row r="987" spans="2:51">
      <c r="S987" s="26"/>
      <c r="T987" s="26"/>
      <c r="U987" s="26"/>
      <c r="V987" s="26"/>
      <c r="W987" s="26"/>
      <c r="X987" s="26"/>
      <c r="Y987" s="26"/>
      <c r="Z987" s="26"/>
      <c r="AA987" s="26"/>
      <c r="AB987" s="26"/>
      <c r="AC987" s="26"/>
      <c r="AD987" s="26"/>
      <c r="AE987" s="26"/>
      <c r="AF987" s="26"/>
      <c r="AG987" s="26"/>
      <c r="AH987" s="26"/>
      <c r="AI987" s="26"/>
      <c r="AJ987" s="26"/>
      <c r="AK987" s="26"/>
      <c r="AL987" s="26"/>
      <c r="AM987" s="26"/>
      <c r="AN987" s="26"/>
      <c r="AO987" s="26"/>
      <c r="AP987" s="26"/>
      <c r="AQ987" s="26"/>
      <c r="AR987" s="26"/>
      <c r="AS987" s="26"/>
      <c r="AT987" s="26"/>
      <c r="AU987" s="26"/>
      <c r="AV987" s="26"/>
      <c r="AW987" s="26"/>
      <c r="AX987" s="26"/>
      <c r="AY987" s="26"/>
    </row>
    <row r="988" spans="2:51">
      <c r="S988" s="26"/>
      <c r="T988" s="26"/>
      <c r="U988" s="26"/>
      <c r="V988" s="26"/>
      <c r="W988" s="26"/>
      <c r="X988" s="26"/>
      <c r="Y988" s="26"/>
      <c r="Z988" s="26"/>
      <c r="AA988" s="26"/>
      <c r="AB988" s="26"/>
      <c r="AC988" s="26"/>
      <c r="AD988" s="26"/>
      <c r="AE988" s="26"/>
      <c r="AF988" s="26"/>
      <c r="AG988" s="26"/>
      <c r="AH988" s="26"/>
      <c r="AI988" s="26"/>
      <c r="AJ988" s="26"/>
      <c r="AK988" s="26"/>
      <c r="AL988" s="26"/>
      <c r="AM988" s="26"/>
      <c r="AN988" s="26"/>
      <c r="AO988" s="26"/>
      <c r="AP988" s="26"/>
      <c r="AQ988" s="26"/>
      <c r="AR988" s="26"/>
      <c r="AS988" s="26"/>
      <c r="AT988" s="26"/>
      <c r="AU988" s="26"/>
      <c r="AV988" s="26"/>
      <c r="AW988" s="26"/>
      <c r="AX988" s="26"/>
      <c r="AY988" s="26"/>
    </row>
    <row r="989" spans="2:51">
      <c r="S989" s="26"/>
      <c r="T989" s="26"/>
      <c r="U989" s="26"/>
      <c r="V989" s="26"/>
      <c r="W989" s="26"/>
      <c r="X989" s="26"/>
      <c r="Y989" s="26"/>
      <c r="Z989" s="26"/>
      <c r="AA989" s="26"/>
      <c r="AB989" s="26"/>
      <c r="AC989" s="26"/>
      <c r="AD989" s="26"/>
      <c r="AE989" s="26"/>
      <c r="AF989" s="26"/>
      <c r="AG989" s="26"/>
      <c r="AH989" s="26"/>
      <c r="AI989" s="26"/>
      <c r="AJ989" s="26"/>
      <c r="AK989" s="26"/>
      <c r="AL989" s="26"/>
      <c r="AM989" s="26"/>
      <c r="AN989" s="26"/>
      <c r="AO989" s="26"/>
      <c r="AP989" s="26"/>
      <c r="AQ989" s="26"/>
      <c r="AR989" s="26"/>
      <c r="AS989" s="26"/>
      <c r="AT989" s="26"/>
      <c r="AU989" s="26"/>
      <c r="AV989" s="26"/>
      <c r="AW989" s="26"/>
      <c r="AX989" s="26"/>
      <c r="AY989" s="26"/>
    </row>
    <row r="990" spans="2:51">
      <c r="S990" s="26"/>
      <c r="T990" s="26"/>
      <c r="U990" s="26"/>
      <c r="V990" s="26"/>
      <c r="W990" s="26"/>
      <c r="X990" s="26"/>
      <c r="Y990" s="26"/>
      <c r="Z990" s="26"/>
      <c r="AA990" s="26"/>
      <c r="AB990" s="26"/>
      <c r="AC990" s="26"/>
      <c r="AD990" s="26"/>
      <c r="AE990" s="26"/>
      <c r="AF990" s="26"/>
      <c r="AG990" s="26"/>
      <c r="AH990" s="26"/>
      <c r="AI990" s="26"/>
      <c r="AJ990" s="26"/>
      <c r="AK990" s="26"/>
      <c r="AL990" s="26"/>
      <c r="AM990" s="26"/>
      <c r="AN990" s="26"/>
      <c r="AO990" s="26"/>
      <c r="AP990" s="26"/>
      <c r="AQ990" s="26"/>
      <c r="AR990" s="26"/>
      <c r="AS990" s="26"/>
      <c r="AT990" s="26"/>
      <c r="AU990" s="26"/>
      <c r="AV990" s="26"/>
      <c r="AW990" s="26"/>
      <c r="AX990" s="26"/>
      <c r="AY990" s="26"/>
    </row>
    <row r="991" spans="2:51">
      <c r="S991" s="26"/>
      <c r="T991" s="26"/>
      <c r="U991" s="26"/>
      <c r="V991" s="26"/>
      <c r="W991" s="26"/>
      <c r="X991" s="26"/>
      <c r="Y991" s="26"/>
      <c r="Z991" s="26"/>
      <c r="AA991" s="26"/>
      <c r="AB991" s="26"/>
      <c r="AC991" s="26"/>
      <c r="AD991" s="26"/>
      <c r="AE991" s="26"/>
      <c r="AF991" s="26"/>
      <c r="AG991" s="26"/>
      <c r="AH991" s="26"/>
      <c r="AI991" s="26"/>
      <c r="AJ991" s="26"/>
      <c r="AK991" s="26"/>
      <c r="AL991" s="26"/>
      <c r="AM991" s="26"/>
      <c r="AN991" s="26"/>
      <c r="AO991" s="26"/>
      <c r="AP991" s="26"/>
      <c r="AQ991" s="26"/>
      <c r="AR991" s="26"/>
      <c r="AS991" s="26"/>
      <c r="AT991" s="26"/>
      <c r="AU991" s="26"/>
      <c r="AV991" s="26"/>
      <c r="AW991" s="26"/>
      <c r="AX991" s="26"/>
      <c r="AY991" s="26"/>
    </row>
    <row r="992" spans="2:51">
      <c r="S992" s="26"/>
      <c r="T992" s="26"/>
      <c r="U992" s="26"/>
      <c r="V992" s="26"/>
      <c r="W992" s="26"/>
      <c r="X992" s="26"/>
      <c r="Y992" s="26"/>
      <c r="Z992" s="26"/>
      <c r="AA992" s="26"/>
      <c r="AB992" s="26"/>
      <c r="AC992" s="26"/>
      <c r="AD992" s="26"/>
      <c r="AE992" s="26"/>
      <c r="AF992" s="26"/>
      <c r="AG992" s="26"/>
      <c r="AH992" s="26"/>
      <c r="AI992" s="26"/>
      <c r="AJ992" s="26"/>
      <c r="AK992" s="26"/>
      <c r="AL992" s="26"/>
      <c r="AM992" s="26"/>
      <c r="AN992" s="26"/>
      <c r="AO992" s="26"/>
      <c r="AP992" s="26"/>
      <c r="AQ992" s="26"/>
      <c r="AR992" s="26"/>
      <c r="AS992" s="26"/>
      <c r="AT992" s="26"/>
      <c r="AU992" s="26"/>
      <c r="AV992" s="26"/>
      <c r="AW992" s="26"/>
      <c r="AX992" s="26"/>
      <c r="AY992" s="26"/>
    </row>
    <row r="993" spans="19:51">
      <c r="S993" s="26"/>
      <c r="T993" s="26"/>
      <c r="U993" s="26"/>
      <c r="V993" s="26"/>
      <c r="W993" s="26"/>
      <c r="X993" s="26"/>
      <c r="Y993" s="26"/>
      <c r="Z993" s="26"/>
      <c r="AA993" s="26"/>
      <c r="AB993" s="26"/>
      <c r="AC993" s="26"/>
      <c r="AD993" s="26"/>
      <c r="AE993" s="26"/>
      <c r="AF993" s="26"/>
      <c r="AG993" s="26"/>
      <c r="AH993" s="26"/>
      <c r="AI993" s="26"/>
      <c r="AJ993" s="26"/>
      <c r="AK993" s="26"/>
      <c r="AL993" s="26"/>
      <c r="AM993" s="26"/>
      <c r="AN993" s="26"/>
      <c r="AO993" s="26"/>
      <c r="AP993" s="26"/>
      <c r="AQ993" s="26"/>
      <c r="AR993" s="26"/>
      <c r="AS993" s="26"/>
      <c r="AT993" s="26"/>
      <c r="AU993" s="26"/>
      <c r="AV993" s="26"/>
      <c r="AW993" s="26"/>
      <c r="AX993" s="26"/>
      <c r="AY993" s="26"/>
    </row>
    <row r="994" spans="19:51">
      <c r="S994" s="26"/>
      <c r="T994" s="26"/>
      <c r="U994" s="26"/>
      <c r="V994" s="26"/>
      <c r="W994" s="26"/>
      <c r="X994" s="26"/>
      <c r="Y994" s="26"/>
      <c r="Z994" s="26"/>
      <c r="AA994" s="26"/>
      <c r="AB994" s="26"/>
      <c r="AC994" s="26"/>
      <c r="AD994" s="26"/>
      <c r="AE994" s="26"/>
      <c r="AF994" s="26"/>
      <c r="AG994" s="26"/>
      <c r="AH994" s="26"/>
      <c r="AI994" s="26"/>
      <c r="AJ994" s="26"/>
      <c r="AK994" s="26"/>
      <c r="AL994" s="26"/>
      <c r="AM994" s="26"/>
      <c r="AN994" s="26"/>
      <c r="AO994" s="26"/>
      <c r="AP994" s="26"/>
      <c r="AQ994" s="26"/>
      <c r="AR994" s="26"/>
      <c r="AS994" s="26"/>
      <c r="AT994" s="26"/>
      <c r="AU994" s="26"/>
      <c r="AV994" s="26"/>
      <c r="AW994" s="26"/>
      <c r="AX994" s="26"/>
      <c r="AY994" s="26"/>
    </row>
    <row r="995" spans="19:51">
      <c r="S995" s="26"/>
      <c r="T995" s="26"/>
      <c r="U995" s="26"/>
      <c r="V995" s="26"/>
      <c r="W995" s="26"/>
      <c r="X995" s="26"/>
      <c r="Y995" s="26"/>
      <c r="Z995" s="26"/>
      <c r="AA995" s="26"/>
      <c r="AB995" s="26"/>
      <c r="AC995" s="26"/>
      <c r="AD995" s="26"/>
      <c r="AE995" s="26"/>
      <c r="AF995" s="26"/>
      <c r="AG995" s="26"/>
      <c r="AH995" s="26"/>
      <c r="AI995" s="26"/>
      <c r="AJ995" s="26"/>
      <c r="AK995" s="26"/>
      <c r="AL995" s="26"/>
      <c r="AM995" s="26"/>
      <c r="AN995" s="26"/>
      <c r="AO995" s="26"/>
      <c r="AP995" s="26"/>
      <c r="AQ995" s="26"/>
      <c r="AR995" s="26"/>
      <c r="AS995" s="26"/>
      <c r="AT995" s="26"/>
      <c r="AU995" s="26"/>
      <c r="AV995" s="26"/>
      <c r="AW995" s="26"/>
      <c r="AX995" s="26"/>
      <c r="AY995" s="26"/>
    </row>
    <row r="996" spans="19:51">
      <c r="S996" s="26"/>
      <c r="T996" s="26"/>
      <c r="U996" s="26"/>
      <c r="V996" s="26"/>
      <c r="W996" s="26"/>
      <c r="X996" s="26"/>
      <c r="Y996" s="26"/>
      <c r="Z996" s="26"/>
      <c r="AA996" s="26"/>
      <c r="AB996" s="26"/>
      <c r="AC996" s="26"/>
      <c r="AD996" s="26"/>
      <c r="AE996" s="26"/>
      <c r="AF996" s="26"/>
      <c r="AG996" s="26"/>
      <c r="AH996" s="26"/>
      <c r="AI996" s="26"/>
      <c r="AJ996" s="26"/>
      <c r="AK996" s="26"/>
      <c r="AL996" s="26"/>
      <c r="AM996" s="26"/>
      <c r="AN996" s="26"/>
      <c r="AO996" s="26"/>
      <c r="AP996" s="26"/>
      <c r="AQ996" s="26"/>
      <c r="AR996" s="26"/>
      <c r="AS996" s="26"/>
      <c r="AT996" s="26"/>
      <c r="AU996" s="26"/>
      <c r="AV996" s="26"/>
      <c r="AW996" s="26"/>
      <c r="AX996" s="26"/>
      <c r="AY996" s="26"/>
    </row>
    <row r="997" spans="19:51">
      <c r="S997" s="26"/>
      <c r="T997" s="26"/>
      <c r="U997" s="26"/>
      <c r="V997" s="26"/>
      <c r="W997" s="26"/>
      <c r="X997" s="26"/>
      <c r="Y997" s="26"/>
      <c r="Z997" s="26"/>
      <c r="AA997" s="26"/>
      <c r="AB997" s="26"/>
      <c r="AC997" s="26"/>
      <c r="AD997" s="26"/>
      <c r="AE997" s="26"/>
      <c r="AF997" s="26"/>
      <c r="AG997" s="26"/>
      <c r="AH997" s="26"/>
      <c r="AI997" s="26"/>
      <c r="AJ997" s="26"/>
      <c r="AK997" s="26"/>
      <c r="AL997" s="26"/>
      <c r="AM997" s="26"/>
      <c r="AN997" s="26"/>
      <c r="AO997" s="26"/>
      <c r="AP997" s="26"/>
      <c r="AQ997" s="26"/>
      <c r="AR997" s="26"/>
      <c r="AS997" s="26"/>
      <c r="AT997" s="26"/>
      <c r="AU997" s="26"/>
      <c r="AV997" s="26"/>
      <c r="AW997" s="26"/>
      <c r="AX997" s="26"/>
      <c r="AY997" s="26"/>
    </row>
    <row r="998" spans="19:51">
      <c r="S998" s="26"/>
      <c r="T998" s="26"/>
      <c r="U998" s="26"/>
      <c r="V998" s="26"/>
      <c r="W998" s="26"/>
      <c r="X998" s="26"/>
      <c r="Y998" s="26"/>
      <c r="Z998" s="26"/>
      <c r="AA998" s="26"/>
      <c r="AB998" s="26"/>
      <c r="AC998" s="26"/>
      <c r="AD998" s="26"/>
      <c r="AE998" s="26"/>
      <c r="AF998" s="26"/>
      <c r="AG998" s="26"/>
      <c r="AH998" s="26"/>
      <c r="AI998" s="26"/>
      <c r="AJ998" s="26"/>
      <c r="AK998" s="26"/>
      <c r="AL998" s="26"/>
      <c r="AM998" s="26"/>
      <c r="AN998" s="26"/>
      <c r="AO998" s="26"/>
      <c r="AP998" s="26"/>
      <c r="AQ998" s="26"/>
      <c r="AR998" s="26"/>
      <c r="AS998" s="26"/>
      <c r="AT998" s="26"/>
      <c r="AU998" s="26"/>
      <c r="AV998" s="26"/>
      <c r="AW998" s="26"/>
      <c r="AX998" s="26"/>
      <c r="AY998" s="26"/>
    </row>
    <row r="999" spans="19:51">
      <c r="S999" s="26"/>
      <c r="T999" s="26"/>
      <c r="U999" s="26"/>
      <c r="V999" s="26"/>
      <c r="W999" s="26"/>
      <c r="X999" s="26"/>
      <c r="Y999" s="26"/>
      <c r="Z999" s="26"/>
      <c r="AA999" s="26"/>
      <c r="AB999" s="26"/>
      <c r="AC999" s="26"/>
      <c r="AD999" s="26"/>
      <c r="AE999" s="26"/>
      <c r="AF999" s="26"/>
      <c r="AG999" s="26"/>
      <c r="AH999" s="26"/>
      <c r="AI999" s="26"/>
      <c r="AJ999" s="26"/>
      <c r="AK999" s="26"/>
      <c r="AL999" s="26"/>
      <c r="AM999" s="26"/>
      <c r="AN999" s="26"/>
      <c r="AO999" s="26"/>
      <c r="AP999" s="26"/>
      <c r="AQ999" s="26"/>
      <c r="AR999" s="26"/>
      <c r="AS999" s="26"/>
      <c r="AT999" s="26"/>
      <c r="AU999" s="26"/>
      <c r="AV999" s="26"/>
      <c r="AW999" s="26"/>
      <c r="AX999" s="26"/>
      <c r="AY999" s="26"/>
    </row>
    <row r="1000" spans="19:51">
      <c r="S1000" s="26"/>
      <c r="T1000" s="26"/>
      <c r="U1000" s="26"/>
      <c r="V1000" s="26"/>
      <c r="W1000" s="26"/>
      <c r="X1000" s="26"/>
      <c r="Y1000" s="26"/>
      <c r="Z1000" s="26"/>
      <c r="AA1000" s="26"/>
      <c r="AB1000" s="26"/>
      <c r="AC1000" s="26"/>
      <c r="AD1000" s="26"/>
      <c r="AE1000" s="26"/>
      <c r="AF1000" s="26"/>
      <c r="AG1000" s="26"/>
      <c r="AH1000" s="26"/>
      <c r="AI1000" s="26"/>
      <c r="AJ1000" s="26"/>
      <c r="AK1000" s="26"/>
      <c r="AL1000" s="26"/>
      <c r="AM1000" s="26"/>
      <c r="AN1000" s="26"/>
      <c r="AO1000" s="26"/>
      <c r="AP1000" s="26"/>
      <c r="AQ1000" s="26"/>
      <c r="AR1000" s="26"/>
      <c r="AS1000" s="26"/>
      <c r="AT1000" s="26"/>
      <c r="AU1000" s="26"/>
      <c r="AV1000" s="26"/>
      <c r="AW1000" s="26"/>
      <c r="AX1000" s="26"/>
      <c r="AY1000" s="26"/>
    </row>
    <row r="1001" spans="19:51">
      <c r="S1001" s="26"/>
      <c r="T1001" s="26"/>
      <c r="U1001" s="26"/>
      <c r="V1001" s="26"/>
      <c r="W1001" s="26"/>
      <c r="X1001" s="26"/>
      <c r="Y1001" s="26"/>
      <c r="Z1001" s="26"/>
      <c r="AA1001" s="26"/>
      <c r="AB1001" s="26"/>
      <c r="AC1001" s="26"/>
      <c r="AD1001" s="26"/>
      <c r="AE1001" s="26"/>
      <c r="AF1001" s="26"/>
      <c r="AG1001" s="26"/>
      <c r="AH1001" s="26"/>
      <c r="AI1001" s="26"/>
      <c r="AJ1001" s="26"/>
      <c r="AK1001" s="26"/>
      <c r="AL1001" s="26"/>
      <c r="AM1001" s="26"/>
      <c r="AN1001" s="26"/>
      <c r="AO1001" s="26"/>
      <c r="AP1001" s="26"/>
      <c r="AQ1001" s="26"/>
      <c r="AR1001" s="26"/>
      <c r="AS1001" s="26"/>
      <c r="AT1001" s="26"/>
      <c r="AU1001" s="26"/>
      <c r="AV1001" s="26"/>
      <c r="AW1001" s="26"/>
      <c r="AX1001" s="26"/>
      <c r="AY1001" s="26"/>
    </row>
    <row r="1002" spans="19:51">
      <c r="S1002" s="26"/>
      <c r="T1002" s="26"/>
      <c r="U1002" s="26"/>
      <c r="V1002" s="26"/>
      <c r="W1002" s="26"/>
      <c r="X1002" s="26"/>
      <c r="Y1002" s="26"/>
      <c r="Z1002" s="26"/>
      <c r="AA1002" s="26"/>
      <c r="AB1002" s="26"/>
      <c r="AC1002" s="26"/>
      <c r="AD1002" s="26"/>
      <c r="AE1002" s="26"/>
      <c r="AF1002" s="26"/>
      <c r="AG1002" s="26"/>
      <c r="AH1002" s="26"/>
      <c r="AI1002" s="26"/>
      <c r="AJ1002" s="26"/>
      <c r="AK1002" s="26"/>
      <c r="AL1002" s="26"/>
      <c r="AM1002" s="26"/>
      <c r="AN1002" s="26"/>
      <c r="AO1002" s="26"/>
      <c r="AP1002" s="26"/>
      <c r="AQ1002" s="26"/>
      <c r="AR1002" s="26"/>
      <c r="AS1002" s="26"/>
      <c r="AT1002" s="26"/>
      <c r="AU1002" s="26"/>
      <c r="AV1002" s="26"/>
      <c r="AW1002" s="26"/>
      <c r="AX1002" s="26"/>
      <c r="AY1002" s="26"/>
    </row>
    <row r="1003" spans="19:51">
      <c r="S1003" s="26"/>
      <c r="T1003" s="26"/>
      <c r="U1003" s="26"/>
      <c r="V1003" s="26"/>
      <c r="W1003" s="26"/>
      <c r="X1003" s="26"/>
      <c r="Y1003" s="26"/>
      <c r="Z1003" s="26"/>
      <c r="AA1003" s="26"/>
      <c r="AB1003" s="26"/>
      <c r="AC1003" s="26"/>
      <c r="AD1003" s="26"/>
      <c r="AE1003" s="26"/>
      <c r="AF1003" s="26"/>
      <c r="AG1003" s="26"/>
      <c r="AH1003" s="26"/>
      <c r="AI1003" s="26"/>
      <c r="AJ1003" s="26"/>
      <c r="AK1003" s="26"/>
      <c r="AL1003" s="26"/>
      <c r="AM1003" s="26"/>
      <c r="AN1003" s="26"/>
      <c r="AO1003" s="26"/>
      <c r="AP1003" s="26"/>
      <c r="AQ1003" s="26"/>
      <c r="AR1003" s="26"/>
      <c r="AS1003" s="26"/>
      <c r="AT1003" s="26"/>
      <c r="AU1003" s="26"/>
      <c r="AV1003" s="26"/>
      <c r="AW1003" s="26"/>
      <c r="AX1003" s="26"/>
      <c r="AY1003" s="26"/>
    </row>
    <row r="1004" spans="19:51">
      <c r="S1004" s="26"/>
      <c r="T1004" s="26"/>
      <c r="U1004" s="26"/>
      <c r="V1004" s="26"/>
      <c r="W1004" s="26"/>
      <c r="X1004" s="26"/>
      <c r="Y1004" s="26"/>
      <c r="Z1004" s="26"/>
      <c r="AA1004" s="26"/>
      <c r="AB1004" s="26"/>
      <c r="AC1004" s="26"/>
      <c r="AD1004" s="26"/>
      <c r="AE1004" s="26"/>
      <c r="AF1004" s="26"/>
      <c r="AG1004" s="26"/>
      <c r="AH1004" s="26"/>
      <c r="AI1004" s="26"/>
      <c r="AJ1004" s="26"/>
      <c r="AK1004" s="26"/>
      <c r="AL1004" s="26"/>
      <c r="AM1004" s="26"/>
      <c r="AN1004" s="26"/>
      <c r="AO1004" s="26"/>
      <c r="AP1004" s="26"/>
      <c r="AQ1004" s="26"/>
      <c r="AR1004" s="26"/>
      <c r="AS1004" s="26"/>
      <c r="AT1004" s="26"/>
      <c r="AU1004" s="26"/>
      <c r="AV1004" s="26"/>
      <c r="AW1004" s="26"/>
      <c r="AX1004" s="26"/>
      <c r="AY1004" s="26"/>
    </row>
    <row r="1005" spans="19:51">
      <c r="S1005" s="26"/>
      <c r="T1005" s="26"/>
      <c r="U1005" s="26"/>
      <c r="V1005" s="26"/>
      <c r="W1005" s="26"/>
      <c r="X1005" s="26"/>
      <c r="Y1005" s="26"/>
      <c r="Z1005" s="26"/>
      <c r="AA1005" s="26"/>
      <c r="AB1005" s="26"/>
      <c r="AC1005" s="26"/>
      <c r="AD1005" s="26"/>
      <c r="AE1005" s="26"/>
      <c r="AF1005" s="26"/>
      <c r="AG1005" s="26"/>
      <c r="AH1005" s="26"/>
      <c r="AI1005" s="26"/>
      <c r="AJ1005" s="26"/>
      <c r="AK1005" s="26"/>
      <c r="AL1005" s="26"/>
      <c r="AM1005" s="26"/>
      <c r="AN1005" s="26"/>
      <c r="AO1005" s="26"/>
      <c r="AP1005" s="26"/>
      <c r="AQ1005" s="26"/>
      <c r="AR1005" s="26"/>
      <c r="AS1005" s="26"/>
      <c r="AT1005" s="26"/>
      <c r="AU1005" s="26"/>
      <c r="AV1005" s="26"/>
      <c r="AW1005" s="26"/>
      <c r="AX1005" s="26"/>
      <c r="AY1005" s="26"/>
    </row>
    <row r="1006" spans="19:51">
      <c r="S1006" s="26"/>
      <c r="T1006" s="26"/>
      <c r="U1006" s="26"/>
      <c r="V1006" s="26"/>
      <c r="W1006" s="26"/>
      <c r="X1006" s="26"/>
      <c r="Y1006" s="26"/>
      <c r="Z1006" s="26"/>
      <c r="AA1006" s="26"/>
      <c r="AB1006" s="26"/>
      <c r="AC1006" s="26"/>
      <c r="AD1006" s="26"/>
      <c r="AE1006" s="26"/>
      <c r="AF1006" s="26"/>
      <c r="AG1006" s="26"/>
      <c r="AH1006" s="26"/>
      <c r="AI1006" s="26"/>
      <c r="AJ1006" s="26"/>
      <c r="AK1006" s="26"/>
      <c r="AL1006" s="26"/>
      <c r="AM1006" s="26"/>
      <c r="AN1006" s="26"/>
      <c r="AO1006" s="26"/>
      <c r="AP1006" s="26"/>
      <c r="AQ1006" s="26"/>
      <c r="AR1006" s="26"/>
      <c r="AS1006" s="26"/>
      <c r="AT1006" s="26"/>
      <c r="AU1006" s="26"/>
      <c r="AV1006" s="26"/>
      <c r="AW1006" s="26"/>
      <c r="AX1006" s="26"/>
      <c r="AY1006" s="26"/>
    </row>
    <row r="1007" spans="19:51">
      <c r="S1007" s="26"/>
      <c r="T1007" s="26"/>
      <c r="U1007" s="26"/>
      <c r="V1007" s="26"/>
      <c r="W1007" s="26"/>
      <c r="X1007" s="26"/>
      <c r="Y1007" s="26"/>
      <c r="Z1007" s="26"/>
      <c r="AA1007" s="26"/>
      <c r="AB1007" s="26"/>
      <c r="AC1007" s="26"/>
      <c r="AD1007" s="26"/>
      <c r="AE1007" s="26"/>
      <c r="AF1007" s="26"/>
      <c r="AG1007" s="26"/>
      <c r="AH1007" s="26"/>
      <c r="AI1007" s="26"/>
      <c r="AJ1007" s="26"/>
      <c r="AK1007" s="26"/>
      <c r="AL1007" s="26"/>
      <c r="AM1007" s="26"/>
      <c r="AN1007" s="26"/>
      <c r="AO1007" s="26"/>
      <c r="AP1007" s="26"/>
      <c r="AQ1007" s="26"/>
      <c r="AR1007" s="26"/>
      <c r="AS1007" s="26"/>
      <c r="AT1007" s="26"/>
      <c r="AU1007" s="26"/>
      <c r="AV1007" s="26"/>
      <c r="AW1007" s="26"/>
      <c r="AX1007" s="26"/>
      <c r="AY1007" s="26"/>
    </row>
    <row r="1008" spans="19:51">
      <c r="S1008" s="26"/>
      <c r="T1008" s="26"/>
      <c r="U1008" s="26"/>
      <c r="V1008" s="26"/>
      <c r="W1008" s="26"/>
      <c r="X1008" s="26"/>
      <c r="Y1008" s="26"/>
      <c r="Z1008" s="26"/>
      <c r="AA1008" s="26"/>
      <c r="AB1008" s="26"/>
      <c r="AC1008" s="26"/>
      <c r="AD1008" s="26"/>
      <c r="AE1008" s="26"/>
      <c r="AF1008" s="26"/>
      <c r="AG1008" s="26"/>
      <c r="AH1008" s="26"/>
      <c r="AI1008" s="26"/>
      <c r="AJ1008" s="26"/>
      <c r="AK1008" s="26"/>
      <c r="AL1008" s="26"/>
      <c r="AM1008" s="26"/>
      <c r="AN1008" s="26"/>
      <c r="AO1008" s="26"/>
      <c r="AP1008" s="26"/>
      <c r="AQ1008" s="26"/>
      <c r="AR1008" s="26"/>
      <c r="AS1008" s="26"/>
      <c r="AT1008" s="26"/>
      <c r="AU1008" s="26"/>
      <c r="AV1008" s="26"/>
      <c r="AW1008" s="26"/>
      <c r="AX1008" s="26"/>
      <c r="AY1008" s="26"/>
    </row>
    <row r="1009" spans="1:51">
      <c r="S1009" s="26"/>
      <c r="T1009" s="26"/>
      <c r="U1009" s="26"/>
      <c r="V1009" s="26"/>
      <c r="W1009" s="26"/>
      <c r="X1009" s="26"/>
      <c r="Y1009" s="26"/>
      <c r="Z1009" s="26"/>
      <c r="AA1009" s="26"/>
      <c r="AB1009" s="26"/>
      <c r="AC1009" s="26"/>
      <c r="AD1009" s="26"/>
      <c r="AE1009" s="26"/>
      <c r="AF1009" s="26"/>
      <c r="AG1009" s="26"/>
      <c r="AH1009" s="26"/>
      <c r="AI1009" s="26"/>
      <c r="AJ1009" s="26"/>
      <c r="AK1009" s="26"/>
      <c r="AL1009" s="26"/>
      <c r="AM1009" s="26"/>
      <c r="AN1009" s="26"/>
      <c r="AO1009" s="26"/>
      <c r="AP1009" s="26"/>
      <c r="AQ1009" s="26"/>
      <c r="AR1009" s="26"/>
      <c r="AS1009" s="26"/>
      <c r="AT1009" s="26"/>
      <c r="AU1009" s="26"/>
      <c r="AV1009" s="26"/>
      <c r="AW1009" s="26"/>
      <c r="AX1009" s="26"/>
      <c r="AY1009" s="26"/>
    </row>
    <row r="1010" spans="1:51">
      <c r="S1010" s="26"/>
      <c r="T1010" s="26"/>
      <c r="U1010" s="26"/>
      <c r="V1010" s="26"/>
      <c r="W1010" s="26"/>
      <c r="X1010" s="26"/>
      <c r="Y1010" s="26"/>
      <c r="Z1010" s="26"/>
      <c r="AA1010" s="26"/>
      <c r="AB1010" s="26"/>
      <c r="AC1010" s="26"/>
      <c r="AD1010" s="26"/>
      <c r="AE1010" s="26"/>
      <c r="AF1010" s="26"/>
      <c r="AG1010" s="26"/>
      <c r="AH1010" s="26"/>
      <c r="AI1010" s="26"/>
      <c r="AJ1010" s="26"/>
      <c r="AK1010" s="26"/>
      <c r="AL1010" s="26"/>
      <c r="AM1010" s="26"/>
      <c r="AN1010" s="26"/>
      <c r="AO1010" s="26"/>
      <c r="AP1010" s="26"/>
      <c r="AQ1010" s="26"/>
      <c r="AR1010" s="26"/>
      <c r="AS1010" s="26"/>
      <c r="AT1010" s="26"/>
      <c r="AU1010" s="26"/>
      <c r="AV1010" s="26"/>
      <c r="AW1010" s="26"/>
      <c r="AX1010" s="26"/>
      <c r="AY1010" s="26"/>
    </row>
    <row r="1011" spans="1:51">
      <c r="S1011" s="26"/>
      <c r="T1011" s="26"/>
      <c r="U1011" s="26"/>
      <c r="V1011" s="26"/>
      <c r="W1011" s="26"/>
      <c r="X1011" s="26"/>
      <c r="Y1011" s="26"/>
      <c r="Z1011" s="26"/>
      <c r="AA1011" s="26"/>
      <c r="AB1011" s="26"/>
      <c r="AC1011" s="26"/>
      <c r="AD1011" s="26"/>
      <c r="AE1011" s="26"/>
      <c r="AF1011" s="26"/>
      <c r="AG1011" s="26"/>
      <c r="AH1011" s="26"/>
      <c r="AI1011" s="26"/>
      <c r="AJ1011" s="26"/>
      <c r="AK1011" s="26"/>
      <c r="AL1011" s="26"/>
      <c r="AM1011" s="26"/>
      <c r="AN1011" s="26"/>
      <c r="AO1011" s="26"/>
      <c r="AP1011" s="26"/>
      <c r="AQ1011" s="26"/>
      <c r="AR1011" s="26"/>
      <c r="AS1011" s="26"/>
      <c r="AT1011" s="26"/>
      <c r="AU1011" s="26"/>
      <c r="AV1011" s="26"/>
      <c r="AW1011" s="26"/>
      <c r="AX1011" s="26"/>
      <c r="AY1011" s="26"/>
    </row>
    <row r="1012" spans="1:51">
      <c r="S1012" s="26"/>
      <c r="T1012" s="26"/>
      <c r="U1012" s="26"/>
      <c r="V1012" s="26"/>
      <c r="W1012" s="26"/>
      <c r="X1012" s="26"/>
      <c r="Y1012" s="26"/>
      <c r="Z1012" s="26"/>
      <c r="AA1012" s="26"/>
      <c r="AB1012" s="26"/>
      <c r="AC1012" s="26"/>
      <c r="AD1012" s="26"/>
      <c r="AE1012" s="26"/>
      <c r="AF1012" s="26"/>
      <c r="AG1012" s="26"/>
      <c r="AH1012" s="26"/>
      <c r="AI1012" s="26"/>
      <c r="AJ1012" s="26"/>
      <c r="AK1012" s="26"/>
      <c r="AL1012" s="26"/>
      <c r="AM1012" s="26"/>
      <c r="AN1012" s="26"/>
      <c r="AO1012" s="26"/>
      <c r="AP1012" s="26"/>
      <c r="AQ1012" s="26"/>
      <c r="AR1012" s="26"/>
      <c r="AS1012" s="26"/>
      <c r="AT1012" s="26"/>
      <c r="AU1012" s="26"/>
      <c r="AV1012" s="26"/>
      <c r="AW1012" s="26"/>
      <c r="AX1012" s="26"/>
      <c r="AY1012" s="26"/>
    </row>
    <row r="1013" spans="1:51" ht="33.75" customHeight="1">
      <c r="A1013" s="26"/>
      <c r="B1013" s="66" t="s">
        <v>190</v>
      </c>
      <c r="C1013" s="67"/>
      <c r="D1013" s="67"/>
      <c r="E1013" s="26"/>
      <c r="F1013" s="26"/>
      <c r="G1013" s="26"/>
      <c r="H1013" s="26"/>
      <c r="I1013" s="26"/>
      <c r="J1013" s="26"/>
      <c r="K1013" s="26"/>
      <c r="L1013" s="26"/>
      <c r="M1013" s="26"/>
      <c r="N1013" s="26"/>
      <c r="O1013" s="26"/>
      <c r="P1013" s="26"/>
      <c r="Q1013" s="26"/>
      <c r="R1013" s="26"/>
      <c r="S1013" s="26"/>
      <c r="T1013" s="26"/>
      <c r="U1013" s="26"/>
      <c r="V1013" s="26"/>
      <c r="W1013" s="26"/>
      <c r="X1013" s="26"/>
      <c r="Y1013" s="26"/>
      <c r="Z1013" s="26"/>
      <c r="AA1013" s="26"/>
      <c r="AB1013" s="26"/>
      <c r="AC1013" s="26"/>
      <c r="AD1013" s="26"/>
      <c r="AE1013" s="26"/>
      <c r="AF1013" s="26"/>
      <c r="AG1013" s="26"/>
      <c r="AH1013" s="26"/>
      <c r="AI1013" s="26"/>
      <c r="AJ1013" s="26"/>
      <c r="AK1013" s="26"/>
      <c r="AL1013" s="26"/>
      <c r="AM1013" s="26"/>
      <c r="AN1013" s="26"/>
      <c r="AO1013" s="26"/>
      <c r="AP1013" s="26"/>
      <c r="AQ1013" s="26"/>
      <c r="AR1013" s="26"/>
      <c r="AS1013" s="26"/>
      <c r="AT1013" s="26"/>
      <c r="AU1013" s="26"/>
      <c r="AV1013" s="26"/>
      <c r="AW1013" s="26"/>
      <c r="AX1013" s="26"/>
      <c r="AY1013" s="26"/>
    </row>
    <row r="1014" spans="1:51">
      <c r="B1014" s="31"/>
      <c r="C1014" s="50"/>
      <c r="D1014" s="50"/>
      <c r="S1014" s="26"/>
      <c r="T1014" s="26"/>
      <c r="U1014" s="26"/>
      <c r="V1014" s="26"/>
      <c r="W1014" s="26"/>
      <c r="X1014" s="26"/>
      <c r="Y1014" s="26"/>
      <c r="Z1014" s="26"/>
      <c r="AA1014" s="26"/>
      <c r="AB1014" s="26"/>
      <c r="AC1014" s="26"/>
      <c r="AD1014" s="26"/>
      <c r="AE1014" s="26"/>
      <c r="AF1014" s="26"/>
      <c r="AG1014" s="26"/>
      <c r="AH1014" s="26"/>
      <c r="AI1014" s="26"/>
      <c r="AJ1014" s="26"/>
      <c r="AK1014" s="26"/>
      <c r="AL1014" s="26"/>
      <c r="AM1014" s="26"/>
      <c r="AN1014" s="26"/>
      <c r="AO1014" s="26"/>
      <c r="AP1014" s="26"/>
      <c r="AQ1014" s="26"/>
      <c r="AR1014" s="26"/>
      <c r="AS1014" s="26"/>
      <c r="AT1014" s="26"/>
      <c r="AU1014" s="26"/>
      <c r="AV1014" s="26"/>
      <c r="AW1014" s="26"/>
      <c r="AX1014" s="26"/>
      <c r="AY1014" s="26"/>
    </row>
    <row r="1015" spans="1:51">
      <c r="B1015" s="31"/>
      <c r="C1015" s="50"/>
      <c r="D1015" s="50"/>
      <c r="S1015" s="26"/>
      <c r="T1015" s="26"/>
      <c r="U1015" s="26"/>
      <c r="V1015" s="26"/>
      <c r="W1015" s="26"/>
      <c r="X1015" s="26"/>
      <c r="Y1015" s="26"/>
      <c r="Z1015" s="26"/>
      <c r="AA1015" s="26"/>
      <c r="AB1015" s="26"/>
      <c r="AC1015" s="26"/>
      <c r="AD1015" s="26"/>
      <c r="AE1015" s="26"/>
      <c r="AF1015" s="26"/>
      <c r="AG1015" s="26"/>
      <c r="AH1015" s="26"/>
      <c r="AI1015" s="26"/>
      <c r="AJ1015" s="26"/>
      <c r="AK1015" s="26"/>
      <c r="AL1015" s="26"/>
      <c r="AM1015" s="26"/>
      <c r="AN1015" s="26"/>
      <c r="AO1015" s="26"/>
      <c r="AP1015" s="26"/>
      <c r="AQ1015" s="26"/>
      <c r="AR1015" s="26"/>
      <c r="AS1015" s="26"/>
      <c r="AT1015" s="26"/>
      <c r="AU1015" s="26"/>
      <c r="AV1015" s="26"/>
      <c r="AW1015" s="26"/>
      <c r="AX1015" s="26"/>
      <c r="AY1015" s="26"/>
    </row>
    <row r="1016" spans="1:51">
      <c r="C1016" s="28"/>
      <c r="S1016" s="26"/>
      <c r="T1016" s="26"/>
      <c r="U1016" s="26"/>
      <c r="V1016" s="26"/>
      <c r="W1016" s="26"/>
      <c r="X1016" s="26"/>
      <c r="Y1016" s="26"/>
      <c r="Z1016" s="26"/>
      <c r="AA1016" s="26"/>
      <c r="AB1016" s="26"/>
      <c r="AC1016" s="26"/>
      <c r="AD1016" s="26"/>
      <c r="AE1016" s="26"/>
      <c r="AF1016" s="26"/>
      <c r="AG1016" s="26"/>
      <c r="AH1016" s="26"/>
      <c r="AI1016" s="26"/>
      <c r="AJ1016" s="26"/>
      <c r="AK1016" s="26"/>
      <c r="AL1016" s="26"/>
      <c r="AM1016" s="26"/>
      <c r="AN1016" s="26"/>
      <c r="AO1016" s="26"/>
      <c r="AP1016" s="26"/>
      <c r="AQ1016" s="26"/>
      <c r="AR1016" s="26"/>
      <c r="AS1016" s="26"/>
      <c r="AT1016" s="26"/>
      <c r="AU1016" s="26"/>
      <c r="AV1016" s="26"/>
      <c r="AW1016" s="26"/>
      <c r="AX1016" s="26"/>
      <c r="AY1016" s="26"/>
    </row>
    <row r="1017" spans="1:51">
      <c r="B1017" s="30" t="s">
        <v>225</v>
      </c>
      <c r="C1017" s="37" t="s">
        <v>129</v>
      </c>
      <c r="D1017" s="37" t="s">
        <v>129</v>
      </c>
      <c r="E1017" s="31"/>
      <c r="F1017" s="31"/>
      <c r="G1017" s="31"/>
      <c r="H1017" s="31"/>
      <c r="I1017" s="35"/>
      <c r="J1017" s="31"/>
      <c r="K1017" s="31"/>
      <c r="L1017" s="31"/>
      <c r="M1017" s="31"/>
      <c r="N1017" s="31"/>
      <c r="O1017" s="31"/>
      <c r="S1017" s="76"/>
      <c r="T1017" s="76"/>
      <c r="U1017" s="82"/>
      <c r="V1017" s="76"/>
      <c r="W1017" s="76"/>
      <c r="X1017" s="76"/>
      <c r="Y1017" s="76"/>
      <c r="Z1017" s="76"/>
      <c r="AA1017" s="76"/>
      <c r="AB1017" s="76"/>
      <c r="AC1017" s="76"/>
      <c r="AD1017" s="76"/>
      <c r="AE1017" s="76"/>
      <c r="AF1017" s="76"/>
      <c r="AG1017" s="76"/>
      <c r="AH1017" s="26"/>
      <c r="AI1017" s="26"/>
      <c r="AJ1017" s="26"/>
      <c r="AK1017" s="26"/>
      <c r="AL1017" s="26"/>
      <c r="AM1017" s="26"/>
      <c r="AN1017" s="26"/>
      <c r="AO1017" s="26"/>
      <c r="AP1017" s="26"/>
      <c r="AQ1017" s="26"/>
      <c r="AR1017" s="26"/>
      <c r="AS1017" s="26"/>
      <c r="AT1017" s="26"/>
      <c r="AU1017" s="26"/>
      <c r="AV1017" s="26"/>
      <c r="AW1017" s="26"/>
      <c r="AX1017" s="26"/>
      <c r="AY1017" s="26"/>
    </row>
    <row r="1018" spans="1:51">
      <c r="B1018" s="52"/>
      <c r="C1018" s="70" t="s">
        <v>191</v>
      </c>
      <c r="D1018" s="37" t="s">
        <v>192</v>
      </c>
      <c r="E1018" s="31"/>
      <c r="F1018" s="31"/>
      <c r="G1018" s="31"/>
      <c r="H1018" s="31"/>
      <c r="I1018" s="35"/>
      <c r="J1018" s="31"/>
      <c r="K1018" s="31"/>
      <c r="L1018" s="31"/>
      <c r="M1018" s="31"/>
      <c r="N1018" s="31"/>
      <c r="O1018" s="31"/>
      <c r="S1018" s="76"/>
      <c r="T1018" s="76"/>
      <c r="U1018" s="82"/>
      <c r="V1018" s="76"/>
      <c r="W1018" s="76"/>
      <c r="X1018" s="76"/>
      <c r="Y1018" s="76"/>
      <c r="Z1018" s="76"/>
      <c r="AA1018" s="76"/>
      <c r="AB1018" s="76"/>
      <c r="AC1018" s="76"/>
      <c r="AD1018" s="76"/>
      <c r="AE1018" s="76"/>
      <c r="AF1018" s="76"/>
      <c r="AG1018" s="76"/>
      <c r="AH1018" s="26"/>
      <c r="AI1018" s="26"/>
      <c r="AJ1018" s="26"/>
      <c r="AK1018" s="26"/>
      <c r="AL1018" s="26"/>
      <c r="AM1018" s="26"/>
      <c r="AN1018" s="26"/>
      <c r="AO1018" s="26"/>
      <c r="AP1018" s="26"/>
      <c r="AQ1018" s="26"/>
      <c r="AR1018" s="26"/>
      <c r="AS1018" s="26"/>
      <c r="AT1018" s="26"/>
      <c r="AU1018" s="26"/>
      <c r="AV1018" s="26"/>
      <c r="AW1018" s="26"/>
      <c r="AX1018" s="26"/>
      <c r="AY1018" s="26"/>
    </row>
    <row r="1019" spans="1:51">
      <c r="B1019" s="53" t="s">
        <v>193</v>
      </c>
      <c r="C1019" s="73"/>
      <c r="D1019" s="12" t="e">
        <f>SUM(#REF!)+#REF!+#REF!</f>
        <v>#REF!</v>
      </c>
      <c r="E1019" s="85"/>
      <c r="F1019" s="85"/>
      <c r="G1019" s="85"/>
      <c r="H1019" s="85"/>
      <c r="I1019" s="35"/>
      <c r="J1019" s="85"/>
      <c r="K1019" s="85"/>
      <c r="L1019" s="85"/>
      <c r="M1019" s="85"/>
      <c r="N1019" s="85"/>
      <c r="O1019" s="85"/>
      <c r="S1019" s="86"/>
      <c r="T1019" s="86"/>
      <c r="U1019" s="82"/>
      <c r="V1019" s="87"/>
      <c r="W1019" s="87"/>
      <c r="X1019" s="87"/>
      <c r="Y1019" s="87"/>
      <c r="Z1019" s="87"/>
      <c r="AA1019" s="87"/>
      <c r="AB1019" s="79"/>
      <c r="AC1019" s="79"/>
      <c r="AD1019" s="79"/>
      <c r="AE1019" s="79"/>
      <c r="AF1019" s="79"/>
      <c r="AG1019" s="79"/>
      <c r="AH1019" s="26"/>
      <c r="AI1019" s="26"/>
      <c r="AJ1019" s="26"/>
      <c r="AK1019" s="26"/>
      <c r="AL1019" s="26"/>
      <c r="AM1019" s="26"/>
      <c r="AN1019" s="26"/>
      <c r="AO1019" s="26"/>
      <c r="AP1019" s="26"/>
      <c r="AQ1019" s="26"/>
      <c r="AR1019" s="26"/>
      <c r="AS1019" s="26"/>
      <c r="AT1019" s="26"/>
      <c r="AU1019" s="26"/>
      <c r="AV1019" s="26"/>
      <c r="AW1019" s="26"/>
      <c r="AX1019" s="26"/>
      <c r="AY1019" s="26"/>
    </row>
    <row r="1020" spans="1:51">
      <c r="B1020" s="53" t="s">
        <v>194</v>
      </c>
      <c r="C1020" s="73"/>
      <c r="D1020" s="12" t="e">
        <f>-(SUM(#REF!)+SUM(#REF!))-(#REF!+#REF!)-(#REF!+#REF!)-(#REF!+#REF!)-(#REF!+#REF!)-(#REF!+#REF!)</f>
        <v>#REF!</v>
      </c>
      <c r="E1020" s="85"/>
      <c r="F1020" s="85"/>
      <c r="G1020" s="85"/>
      <c r="H1020" s="85"/>
      <c r="I1020" s="35"/>
      <c r="J1020" s="85"/>
      <c r="K1020" s="85"/>
      <c r="L1020" s="85"/>
      <c r="M1020" s="85"/>
      <c r="N1020" s="85"/>
      <c r="O1020" s="85"/>
      <c r="S1020" s="86"/>
      <c r="T1020" s="86"/>
      <c r="U1020" s="82"/>
      <c r="V1020" s="79"/>
      <c r="W1020" s="79"/>
      <c r="X1020" s="79"/>
      <c r="Y1020" s="79"/>
      <c r="Z1020" s="79"/>
      <c r="AA1020" s="79"/>
      <c r="AB1020" s="79"/>
      <c r="AC1020" s="79"/>
      <c r="AD1020" s="79"/>
      <c r="AE1020" s="79"/>
      <c r="AF1020" s="79"/>
      <c r="AG1020" s="79"/>
      <c r="AH1020" s="26"/>
      <c r="AI1020" s="26"/>
      <c r="AJ1020" s="26"/>
      <c r="AK1020" s="26"/>
      <c r="AL1020" s="26"/>
      <c r="AM1020" s="26"/>
      <c r="AN1020" s="26"/>
      <c r="AO1020" s="26"/>
      <c r="AP1020" s="26"/>
      <c r="AQ1020" s="26"/>
      <c r="AR1020" s="26"/>
      <c r="AS1020" s="26"/>
      <c r="AT1020" s="26"/>
      <c r="AU1020" s="26"/>
      <c r="AV1020" s="26"/>
      <c r="AW1020" s="26"/>
      <c r="AX1020" s="26"/>
      <c r="AY1020" s="26"/>
    </row>
    <row r="1021" spans="1:51">
      <c r="B1021" s="53" t="s">
        <v>195</v>
      </c>
      <c r="C1021" s="73"/>
      <c r="D1021" s="12" t="e">
        <f>#REF!+#REF!+#REF!+#REF!</f>
        <v>#REF!</v>
      </c>
      <c r="E1021" s="85"/>
      <c r="F1021" s="85"/>
      <c r="G1021" s="85"/>
      <c r="H1021" s="85"/>
      <c r="I1021" s="35"/>
      <c r="J1021" s="85"/>
      <c r="K1021" s="85"/>
      <c r="L1021" s="85"/>
      <c r="M1021" s="85"/>
      <c r="N1021" s="85"/>
      <c r="O1021" s="85"/>
      <c r="S1021" s="86"/>
      <c r="T1021" s="86"/>
      <c r="U1021" s="82"/>
      <c r="V1021" s="79"/>
      <c r="W1021" s="79"/>
      <c r="X1021" s="79"/>
      <c r="Y1021" s="79"/>
      <c r="Z1021" s="79"/>
      <c r="AA1021" s="79"/>
      <c r="AB1021" s="79"/>
      <c r="AC1021" s="79"/>
      <c r="AD1021" s="79"/>
      <c r="AE1021" s="79"/>
      <c r="AF1021" s="79"/>
      <c r="AG1021" s="79"/>
      <c r="AH1021" s="26"/>
      <c r="AI1021" s="26"/>
      <c r="AJ1021" s="26"/>
      <c r="AK1021" s="26"/>
      <c r="AL1021" s="26"/>
      <c r="AM1021" s="26"/>
      <c r="AN1021" s="26"/>
      <c r="AO1021" s="26"/>
      <c r="AP1021" s="26"/>
      <c r="AQ1021" s="26"/>
      <c r="AR1021" s="26"/>
      <c r="AS1021" s="26"/>
      <c r="AT1021" s="26"/>
      <c r="AU1021" s="26"/>
      <c r="AV1021" s="26"/>
      <c r="AW1021" s="26"/>
      <c r="AX1021" s="26"/>
      <c r="AY1021" s="26"/>
    </row>
    <row r="1022" spans="1:51">
      <c r="B1022" s="53"/>
      <c r="C1022" s="73"/>
      <c r="D1022" s="12"/>
      <c r="E1022" s="85"/>
      <c r="F1022" s="85"/>
      <c r="G1022" s="85"/>
      <c r="H1022" s="85"/>
      <c r="I1022" s="35"/>
      <c r="J1022" s="85"/>
      <c r="K1022" s="85"/>
      <c r="L1022" s="85"/>
      <c r="M1022" s="85"/>
      <c r="N1022" s="85"/>
      <c r="O1022" s="85"/>
      <c r="S1022" s="86"/>
      <c r="T1022" s="86"/>
      <c r="U1022" s="82"/>
      <c r="V1022" s="79"/>
      <c r="W1022" s="79"/>
      <c r="X1022" s="79"/>
      <c r="Y1022" s="79"/>
      <c r="Z1022" s="79"/>
      <c r="AA1022" s="79"/>
      <c r="AB1022" s="79"/>
      <c r="AC1022" s="79"/>
      <c r="AD1022" s="79"/>
      <c r="AE1022" s="79"/>
      <c r="AF1022" s="79"/>
      <c r="AG1022" s="79"/>
      <c r="AH1022" s="26"/>
      <c r="AI1022" s="26"/>
      <c r="AJ1022" s="26"/>
      <c r="AK1022" s="26"/>
      <c r="AL1022" s="26"/>
      <c r="AM1022" s="26"/>
      <c r="AN1022" s="26"/>
      <c r="AO1022" s="26"/>
      <c r="AP1022" s="26"/>
      <c r="AQ1022" s="26"/>
      <c r="AR1022" s="26"/>
      <c r="AS1022" s="26"/>
      <c r="AT1022" s="26"/>
      <c r="AU1022" s="26"/>
      <c r="AV1022" s="26"/>
      <c r="AW1022" s="26"/>
      <c r="AX1022" s="26"/>
      <c r="AY1022" s="26"/>
    </row>
    <row r="1023" spans="1:51">
      <c r="B1023" s="53" t="s">
        <v>196</v>
      </c>
      <c r="C1023" s="73" t="e">
        <f>#REF!+SUM(#REF!)+SUM(#REF!)+SUM(#REF!)+SUM(#REF!)</f>
        <v>#REF!</v>
      </c>
      <c r="D1023" s="12"/>
      <c r="E1023" s="85"/>
      <c r="F1023" s="85"/>
      <c r="G1023" s="85"/>
      <c r="H1023" s="85"/>
      <c r="I1023" s="35"/>
      <c r="J1023" s="85"/>
      <c r="K1023" s="85"/>
      <c r="L1023" s="85"/>
      <c r="M1023" s="85"/>
      <c r="N1023" s="85"/>
      <c r="O1023" s="85"/>
      <c r="S1023" s="86"/>
      <c r="T1023" s="86"/>
      <c r="U1023" s="82"/>
      <c r="V1023" s="79"/>
      <c r="W1023" s="79"/>
      <c r="X1023" s="79"/>
      <c r="Y1023" s="79"/>
      <c r="Z1023" s="79"/>
      <c r="AA1023" s="79"/>
      <c r="AB1023" s="79"/>
      <c r="AC1023" s="79"/>
      <c r="AD1023" s="79"/>
      <c r="AE1023" s="79"/>
      <c r="AF1023" s="79"/>
      <c r="AG1023" s="79"/>
      <c r="AH1023" s="26"/>
      <c r="AI1023" s="26"/>
      <c r="AJ1023" s="26"/>
      <c r="AK1023" s="26"/>
      <c r="AL1023" s="26"/>
      <c r="AM1023" s="26"/>
      <c r="AN1023" s="26"/>
      <c r="AO1023" s="26"/>
      <c r="AP1023" s="26"/>
      <c r="AQ1023" s="26"/>
      <c r="AR1023" s="26"/>
      <c r="AS1023" s="26"/>
      <c r="AT1023" s="26"/>
      <c r="AU1023" s="26"/>
      <c r="AV1023" s="26"/>
      <c r="AW1023" s="26"/>
      <c r="AX1023" s="26"/>
      <c r="AY1023" s="26"/>
    </row>
    <row r="1024" spans="1:51">
      <c r="B1024" s="53" t="s">
        <v>197</v>
      </c>
      <c r="C1024" s="73" t="e">
        <f>#REF!</f>
        <v>#REF!</v>
      </c>
      <c r="D1024" s="12"/>
      <c r="E1024" s="85"/>
      <c r="F1024" s="85"/>
      <c r="G1024" s="85"/>
      <c r="H1024" s="85"/>
      <c r="I1024" s="35"/>
      <c r="J1024" s="85"/>
      <c r="K1024" s="85"/>
      <c r="L1024" s="85"/>
      <c r="M1024" s="85"/>
      <c r="N1024" s="85"/>
      <c r="O1024" s="85"/>
      <c r="S1024" s="86"/>
      <c r="T1024" s="86"/>
      <c r="U1024" s="82"/>
      <c r="V1024" s="82"/>
      <c r="W1024" s="82"/>
      <c r="X1024" s="82"/>
      <c r="Y1024" s="82"/>
      <c r="Z1024" s="82"/>
      <c r="AA1024" s="82"/>
      <c r="AB1024" s="79"/>
      <c r="AC1024" s="79"/>
      <c r="AD1024" s="79"/>
      <c r="AE1024" s="79"/>
      <c r="AF1024" s="79"/>
      <c r="AG1024" s="79"/>
      <c r="AH1024" s="26"/>
      <c r="AI1024" s="26"/>
      <c r="AJ1024" s="26"/>
      <c r="AK1024" s="26"/>
      <c r="AL1024" s="26"/>
      <c r="AM1024" s="26"/>
      <c r="AN1024" s="26"/>
      <c r="AO1024" s="26"/>
      <c r="AP1024" s="26"/>
      <c r="AQ1024" s="26"/>
      <c r="AR1024" s="26"/>
      <c r="AS1024" s="26"/>
      <c r="AT1024" s="26"/>
      <c r="AU1024" s="26"/>
      <c r="AV1024" s="26"/>
      <c r="AW1024" s="26"/>
      <c r="AX1024" s="26"/>
      <c r="AY1024" s="26"/>
    </row>
    <row r="1025" spans="2:51">
      <c r="B1025" s="53" t="s">
        <v>220</v>
      </c>
      <c r="C1025" s="73" t="e">
        <f>#REF!</f>
        <v>#REF!</v>
      </c>
      <c r="D1025" s="12"/>
      <c r="E1025" s="85"/>
      <c r="F1025" s="85"/>
      <c r="G1025" s="85"/>
      <c r="H1025" s="85"/>
      <c r="I1025" s="35"/>
      <c r="J1025" s="85"/>
      <c r="K1025" s="85"/>
      <c r="L1025" s="85"/>
      <c r="M1025" s="85"/>
      <c r="N1025" s="85"/>
      <c r="O1025" s="85"/>
      <c r="S1025" s="86"/>
      <c r="T1025" s="86"/>
      <c r="U1025" s="82"/>
      <c r="V1025" s="82"/>
      <c r="W1025" s="82"/>
      <c r="X1025" s="82"/>
      <c r="Y1025" s="82"/>
      <c r="Z1025" s="82"/>
      <c r="AA1025" s="82"/>
      <c r="AB1025" s="79"/>
      <c r="AC1025" s="79"/>
      <c r="AD1025" s="79"/>
      <c r="AE1025" s="79"/>
      <c r="AF1025" s="79"/>
      <c r="AG1025" s="79"/>
      <c r="AH1025" s="26"/>
      <c r="AI1025" s="26"/>
      <c r="AJ1025" s="26"/>
      <c r="AK1025" s="26"/>
      <c r="AL1025" s="26"/>
      <c r="AM1025" s="26"/>
      <c r="AN1025" s="26"/>
      <c r="AO1025" s="26"/>
      <c r="AP1025" s="26"/>
      <c r="AQ1025" s="26"/>
      <c r="AR1025" s="26"/>
      <c r="AS1025" s="26"/>
      <c r="AT1025" s="26"/>
      <c r="AU1025" s="26"/>
      <c r="AV1025" s="26"/>
      <c r="AW1025" s="26"/>
      <c r="AX1025" s="26"/>
      <c r="AY1025" s="26"/>
    </row>
    <row r="1026" spans="2:51">
      <c r="B1026" s="53" t="s">
        <v>198</v>
      </c>
      <c r="C1026" s="73" t="e">
        <f>#REF!+#REF!+#REF!</f>
        <v>#REF!</v>
      </c>
      <c r="D1026" s="12"/>
      <c r="E1026" s="85"/>
      <c r="F1026" s="85"/>
      <c r="G1026" s="85"/>
      <c r="H1026" s="85"/>
      <c r="I1026" s="35"/>
      <c r="J1026" s="88"/>
      <c r="K1026" s="88"/>
      <c r="L1026" s="88"/>
      <c r="M1026" s="88"/>
      <c r="N1026" s="88"/>
      <c r="O1026" s="88"/>
      <c r="S1026" s="86"/>
      <c r="T1026" s="86"/>
      <c r="U1026" s="82"/>
      <c r="V1026" s="79"/>
      <c r="W1026" s="79"/>
      <c r="X1026" s="79"/>
      <c r="Y1026" s="79"/>
      <c r="Z1026" s="79"/>
      <c r="AA1026" s="79"/>
      <c r="AB1026" s="79"/>
      <c r="AC1026" s="79"/>
      <c r="AD1026" s="79"/>
      <c r="AE1026" s="79"/>
      <c r="AF1026" s="79"/>
      <c r="AG1026" s="79"/>
      <c r="AH1026" s="26"/>
      <c r="AI1026" s="26"/>
      <c r="AJ1026" s="26"/>
      <c r="AK1026" s="26"/>
      <c r="AL1026" s="26"/>
      <c r="AM1026" s="26"/>
      <c r="AN1026" s="26"/>
      <c r="AO1026" s="26"/>
      <c r="AP1026" s="26"/>
      <c r="AQ1026" s="26"/>
      <c r="AR1026" s="26"/>
      <c r="AS1026" s="26"/>
      <c r="AT1026" s="26"/>
      <c r="AU1026" s="26"/>
      <c r="AV1026" s="26"/>
      <c r="AW1026" s="26"/>
      <c r="AX1026" s="26"/>
      <c r="AY1026" s="26"/>
    </row>
    <row r="1027" spans="2:51">
      <c r="B1027" s="53" t="s">
        <v>157</v>
      </c>
      <c r="C1027" s="73" t="e">
        <f>#REF!</f>
        <v>#REF!</v>
      </c>
      <c r="D1027" s="12"/>
      <c r="E1027" s="50"/>
      <c r="F1027" s="50"/>
      <c r="G1027" s="50"/>
      <c r="H1027" s="50"/>
      <c r="I1027" s="35"/>
      <c r="J1027" s="50"/>
      <c r="K1027" s="50"/>
      <c r="L1027" s="50"/>
      <c r="M1027" s="50"/>
      <c r="N1027" s="50"/>
      <c r="O1027" s="50"/>
      <c r="S1027" s="67"/>
      <c r="T1027" s="67"/>
      <c r="U1027" s="82"/>
      <c r="V1027" s="67"/>
      <c r="W1027" s="67"/>
      <c r="X1027" s="67"/>
      <c r="Y1027" s="67"/>
      <c r="Z1027" s="67"/>
      <c r="AA1027" s="67"/>
      <c r="AB1027" s="67"/>
      <c r="AC1027" s="67"/>
      <c r="AD1027" s="67"/>
      <c r="AE1027" s="67"/>
      <c r="AF1027" s="67"/>
      <c r="AG1027" s="67"/>
      <c r="AH1027" s="26"/>
      <c r="AI1027" s="26"/>
      <c r="AJ1027" s="26"/>
      <c r="AK1027" s="26"/>
      <c r="AL1027" s="26"/>
      <c r="AM1027" s="26"/>
      <c r="AN1027" s="26"/>
      <c r="AO1027" s="26"/>
      <c r="AP1027" s="26"/>
      <c r="AQ1027" s="26"/>
      <c r="AR1027" s="26"/>
      <c r="AS1027" s="26"/>
      <c r="AT1027" s="26"/>
      <c r="AU1027" s="26"/>
      <c r="AV1027" s="26"/>
      <c r="AW1027" s="26"/>
      <c r="AX1027" s="26"/>
      <c r="AY1027" s="26"/>
    </row>
    <row r="1028" spans="2:51">
      <c r="B1028" s="69" t="s">
        <v>147</v>
      </c>
      <c r="C1028" s="74" t="e">
        <f>SUM(C1019:C1027)</f>
        <v>#REF!</v>
      </c>
      <c r="D1028" s="56" t="e">
        <f>SUM(D1019:D1027)</f>
        <v>#REF!</v>
      </c>
      <c r="E1028" s="50"/>
      <c r="F1028" s="107"/>
      <c r="G1028" s="16"/>
      <c r="H1028" s="16"/>
      <c r="S1028" s="26"/>
      <c r="T1028" s="26"/>
      <c r="U1028" s="26"/>
      <c r="V1028" s="26"/>
      <c r="W1028" s="26"/>
      <c r="X1028" s="26"/>
      <c r="Y1028" s="26"/>
      <c r="Z1028" s="26"/>
      <c r="AA1028" s="26"/>
      <c r="AB1028" s="26"/>
      <c r="AC1028" s="26"/>
      <c r="AD1028" s="26"/>
      <c r="AE1028" s="26"/>
      <c r="AF1028" s="26"/>
      <c r="AG1028" s="26"/>
      <c r="AH1028" s="26"/>
      <c r="AI1028" s="26"/>
      <c r="AJ1028" s="26"/>
      <c r="AK1028" s="26"/>
      <c r="AL1028" s="26"/>
      <c r="AM1028" s="26"/>
      <c r="AN1028" s="26"/>
      <c r="AO1028" s="26"/>
      <c r="AP1028" s="26"/>
      <c r="AQ1028" s="26"/>
      <c r="AR1028" s="26"/>
      <c r="AS1028" s="26"/>
      <c r="AT1028" s="26"/>
      <c r="AU1028" s="26"/>
      <c r="AV1028" s="26"/>
      <c r="AW1028" s="26"/>
      <c r="AX1028" s="26"/>
      <c r="AY1028" s="26"/>
    </row>
    <row r="1029" spans="2:51">
      <c r="I1029" s="58"/>
      <c r="S1029" s="26"/>
      <c r="T1029" s="26"/>
      <c r="U1029" s="26"/>
      <c r="V1029" s="26"/>
      <c r="W1029" s="26"/>
      <c r="X1029" s="26"/>
      <c r="Y1029" s="26"/>
      <c r="Z1029" s="26"/>
      <c r="AA1029" s="26"/>
      <c r="AB1029" s="26"/>
      <c r="AC1029" s="26"/>
      <c r="AD1029" s="26"/>
      <c r="AE1029" s="26"/>
      <c r="AF1029" s="26"/>
      <c r="AG1029" s="26"/>
      <c r="AH1029" s="26"/>
      <c r="AI1029" s="26"/>
      <c r="AJ1029" s="26"/>
      <c r="AK1029" s="26"/>
      <c r="AL1029" s="26"/>
      <c r="AM1029" s="26"/>
      <c r="AN1029" s="26"/>
      <c r="AO1029" s="26"/>
      <c r="AP1029" s="26"/>
      <c r="AQ1029" s="26"/>
      <c r="AR1029" s="26"/>
      <c r="AS1029" s="26"/>
      <c r="AT1029" s="26"/>
      <c r="AU1029" s="26"/>
      <c r="AV1029" s="26"/>
      <c r="AW1029" s="26"/>
      <c r="AX1029" s="26"/>
      <c r="AY1029" s="26"/>
    </row>
    <row r="1030" spans="2:51">
      <c r="S1030" s="26"/>
      <c r="T1030" s="26"/>
      <c r="U1030" s="26"/>
      <c r="V1030" s="26"/>
      <c r="W1030" s="26"/>
      <c r="X1030" s="26"/>
      <c r="Y1030" s="26"/>
      <c r="Z1030" s="26"/>
      <c r="AA1030" s="26"/>
      <c r="AB1030" s="26"/>
      <c r="AC1030" s="26"/>
      <c r="AD1030" s="26"/>
      <c r="AE1030" s="26"/>
      <c r="AF1030" s="26"/>
      <c r="AG1030" s="26"/>
      <c r="AH1030" s="26"/>
      <c r="AI1030" s="26"/>
      <c r="AJ1030" s="26"/>
      <c r="AK1030" s="26"/>
      <c r="AL1030" s="26"/>
      <c r="AM1030" s="26"/>
      <c r="AN1030" s="26"/>
      <c r="AO1030" s="26"/>
      <c r="AP1030" s="26"/>
      <c r="AQ1030" s="26"/>
      <c r="AR1030" s="26"/>
      <c r="AS1030" s="26"/>
      <c r="AT1030" s="26"/>
      <c r="AU1030" s="26"/>
      <c r="AV1030" s="26"/>
      <c r="AW1030" s="26"/>
      <c r="AX1030" s="26"/>
      <c r="AY1030" s="26"/>
    </row>
    <row r="1031" spans="2:51">
      <c r="B1031" s="59" t="s">
        <v>225</v>
      </c>
      <c r="S1031" s="26"/>
      <c r="T1031" s="26"/>
      <c r="U1031" s="26"/>
      <c r="V1031" s="26"/>
      <c r="W1031" s="26"/>
      <c r="X1031" s="26"/>
      <c r="Y1031" s="26"/>
      <c r="Z1031" s="26"/>
      <c r="AA1031" s="26"/>
      <c r="AB1031" s="26"/>
      <c r="AC1031" s="26"/>
      <c r="AD1031" s="26"/>
      <c r="AE1031" s="26"/>
      <c r="AF1031" s="26"/>
      <c r="AG1031" s="26"/>
      <c r="AH1031" s="26"/>
      <c r="AI1031" s="26"/>
      <c r="AJ1031" s="26"/>
      <c r="AK1031" s="26"/>
      <c r="AL1031" s="26"/>
      <c r="AM1031" s="26"/>
      <c r="AN1031" s="26"/>
      <c r="AO1031" s="26"/>
      <c r="AP1031" s="26"/>
      <c r="AQ1031" s="26"/>
      <c r="AR1031" s="26"/>
      <c r="AS1031" s="26"/>
      <c r="AT1031" s="26"/>
      <c r="AU1031" s="26"/>
      <c r="AV1031" s="26"/>
      <c r="AW1031" s="26"/>
      <c r="AX1031" s="26"/>
      <c r="AY1031" s="26"/>
    </row>
    <row r="1032" spans="2:51">
      <c r="S1032" s="26"/>
      <c r="T1032" s="26"/>
      <c r="U1032" s="26"/>
      <c r="V1032" s="26"/>
      <c r="W1032" s="26"/>
      <c r="X1032" s="26"/>
      <c r="Y1032" s="26"/>
      <c r="Z1032" s="26"/>
      <c r="AA1032" s="26"/>
      <c r="AB1032" s="26"/>
      <c r="AC1032" s="26"/>
      <c r="AD1032" s="26"/>
      <c r="AE1032" s="26"/>
      <c r="AF1032" s="26"/>
      <c r="AG1032" s="26"/>
      <c r="AH1032" s="26"/>
      <c r="AI1032" s="26"/>
      <c r="AJ1032" s="26"/>
      <c r="AK1032" s="26"/>
      <c r="AL1032" s="26"/>
      <c r="AM1032" s="26"/>
      <c r="AN1032" s="26"/>
      <c r="AO1032" s="26"/>
      <c r="AP1032" s="26"/>
      <c r="AQ1032" s="26"/>
      <c r="AR1032" s="26"/>
      <c r="AS1032" s="26"/>
      <c r="AT1032" s="26"/>
      <c r="AU1032" s="26"/>
      <c r="AV1032" s="26"/>
      <c r="AW1032" s="26"/>
      <c r="AX1032" s="26"/>
      <c r="AY1032" s="26"/>
    </row>
    <row r="1033" spans="2:51">
      <c r="S1033" s="26"/>
      <c r="T1033" s="26"/>
      <c r="U1033" s="26"/>
      <c r="V1033" s="26"/>
      <c r="W1033" s="26"/>
      <c r="X1033" s="26"/>
      <c r="Y1033" s="26"/>
      <c r="Z1033" s="26"/>
      <c r="AA1033" s="26"/>
      <c r="AB1033" s="26"/>
      <c r="AC1033" s="26"/>
      <c r="AD1033" s="26"/>
      <c r="AE1033" s="26"/>
      <c r="AF1033" s="26"/>
      <c r="AG1033" s="26"/>
      <c r="AH1033" s="26"/>
      <c r="AI1033" s="26"/>
      <c r="AJ1033" s="26"/>
      <c r="AK1033" s="26"/>
      <c r="AL1033" s="26"/>
      <c r="AM1033" s="26"/>
      <c r="AN1033" s="26"/>
      <c r="AO1033" s="26"/>
      <c r="AP1033" s="26"/>
      <c r="AQ1033" s="26"/>
      <c r="AR1033" s="26"/>
      <c r="AS1033" s="26"/>
      <c r="AT1033" s="26"/>
      <c r="AU1033" s="26"/>
      <c r="AV1033" s="26"/>
      <c r="AW1033" s="26"/>
      <c r="AX1033" s="26"/>
      <c r="AY1033" s="26"/>
    </row>
    <row r="1034" spans="2:51">
      <c r="S1034" s="26"/>
      <c r="T1034" s="26"/>
      <c r="U1034" s="26"/>
      <c r="V1034" s="26"/>
      <c r="W1034" s="26"/>
      <c r="X1034" s="26"/>
      <c r="Y1034" s="26"/>
      <c r="Z1034" s="26"/>
      <c r="AA1034" s="26"/>
      <c r="AB1034" s="26"/>
      <c r="AC1034" s="26"/>
      <c r="AD1034" s="26"/>
      <c r="AE1034" s="26"/>
      <c r="AF1034" s="26"/>
      <c r="AG1034" s="26"/>
      <c r="AH1034" s="26"/>
      <c r="AI1034" s="26"/>
      <c r="AJ1034" s="26"/>
      <c r="AK1034" s="26"/>
      <c r="AL1034" s="26"/>
      <c r="AM1034" s="26"/>
      <c r="AN1034" s="26"/>
      <c r="AO1034" s="26"/>
      <c r="AP1034" s="26"/>
      <c r="AQ1034" s="26"/>
      <c r="AR1034" s="26"/>
      <c r="AS1034" s="26"/>
      <c r="AT1034" s="26"/>
      <c r="AU1034" s="26"/>
      <c r="AV1034" s="26"/>
      <c r="AW1034" s="26"/>
      <c r="AX1034" s="26"/>
      <c r="AY1034" s="26"/>
    </row>
    <row r="1035" spans="2:51">
      <c r="S1035" s="26"/>
      <c r="T1035" s="26"/>
      <c r="U1035" s="26"/>
      <c r="V1035" s="26"/>
      <c r="W1035" s="26"/>
      <c r="X1035" s="26"/>
      <c r="Y1035" s="26"/>
      <c r="Z1035" s="26"/>
      <c r="AA1035" s="26"/>
      <c r="AB1035" s="26"/>
      <c r="AC1035" s="26"/>
      <c r="AD1035" s="26"/>
      <c r="AE1035" s="26"/>
      <c r="AF1035" s="26"/>
      <c r="AG1035" s="26"/>
      <c r="AH1035" s="26"/>
      <c r="AI1035" s="26"/>
      <c r="AJ1035" s="26"/>
      <c r="AK1035" s="26"/>
      <c r="AL1035" s="26"/>
      <c r="AM1035" s="26"/>
      <c r="AN1035" s="26"/>
      <c r="AO1035" s="26"/>
      <c r="AP1035" s="26"/>
      <c r="AQ1035" s="26"/>
      <c r="AR1035" s="26"/>
      <c r="AS1035" s="26"/>
      <c r="AT1035" s="26"/>
      <c r="AU1035" s="26"/>
      <c r="AV1035" s="26"/>
      <c r="AW1035" s="26"/>
      <c r="AX1035" s="26"/>
      <c r="AY1035" s="26"/>
    </row>
    <row r="1036" spans="2:51">
      <c r="S1036" s="26"/>
      <c r="T1036" s="26"/>
      <c r="U1036" s="26"/>
      <c r="V1036" s="26"/>
      <c r="W1036" s="26"/>
      <c r="X1036" s="26"/>
      <c r="Y1036" s="26"/>
      <c r="Z1036" s="26"/>
      <c r="AA1036" s="26"/>
      <c r="AB1036" s="26"/>
      <c r="AC1036" s="26"/>
      <c r="AD1036" s="26"/>
      <c r="AE1036" s="26"/>
      <c r="AF1036" s="26"/>
      <c r="AG1036" s="26"/>
      <c r="AH1036" s="26"/>
      <c r="AI1036" s="26"/>
      <c r="AJ1036" s="26"/>
      <c r="AK1036" s="26"/>
      <c r="AL1036" s="26"/>
      <c r="AM1036" s="26"/>
      <c r="AN1036" s="26"/>
      <c r="AO1036" s="26"/>
      <c r="AP1036" s="26"/>
      <c r="AQ1036" s="26"/>
      <c r="AR1036" s="26"/>
      <c r="AS1036" s="26"/>
      <c r="AT1036" s="26"/>
      <c r="AU1036" s="26"/>
      <c r="AV1036" s="26"/>
      <c r="AW1036" s="26"/>
      <c r="AX1036" s="26"/>
      <c r="AY1036" s="26"/>
    </row>
    <row r="1037" spans="2:51">
      <c r="S1037" s="26"/>
      <c r="T1037" s="26"/>
      <c r="U1037" s="26"/>
      <c r="V1037" s="26"/>
      <c r="W1037" s="26"/>
      <c r="X1037" s="26"/>
      <c r="Y1037" s="26"/>
      <c r="Z1037" s="26"/>
      <c r="AA1037" s="26"/>
      <c r="AB1037" s="26"/>
      <c r="AC1037" s="26"/>
      <c r="AD1037" s="26"/>
      <c r="AE1037" s="26"/>
      <c r="AF1037" s="26"/>
      <c r="AG1037" s="26"/>
      <c r="AH1037" s="26"/>
      <c r="AI1037" s="26"/>
      <c r="AJ1037" s="26"/>
      <c r="AK1037" s="26"/>
      <c r="AL1037" s="26"/>
      <c r="AM1037" s="26"/>
      <c r="AN1037" s="26"/>
      <c r="AO1037" s="26"/>
      <c r="AP1037" s="26"/>
      <c r="AQ1037" s="26"/>
      <c r="AR1037" s="26"/>
      <c r="AS1037" s="26"/>
      <c r="AT1037" s="26"/>
      <c r="AU1037" s="26"/>
      <c r="AV1037" s="26"/>
      <c r="AW1037" s="26"/>
      <c r="AX1037" s="26"/>
      <c r="AY1037" s="26"/>
    </row>
    <row r="1038" spans="2:51">
      <c r="S1038" s="26"/>
      <c r="T1038" s="26"/>
      <c r="U1038" s="26"/>
      <c r="V1038" s="26"/>
      <c r="W1038" s="26"/>
      <c r="X1038" s="26"/>
      <c r="Y1038" s="26"/>
      <c r="Z1038" s="26"/>
      <c r="AA1038" s="26"/>
      <c r="AB1038" s="26"/>
      <c r="AC1038" s="26"/>
      <c r="AD1038" s="26"/>
      <c r="AE1038" s="26"/>
      <c r="AF1038" s="26"/>
      <c r="AG1038" s="26"/>
      <c r="AH1038" s="26"/>
      <c r="AI1038" s="26"/>
      <c r="AJ1038" s="26"/>
      <c r="AK1038" s="26"/>
      <c r="AL1038" s="26"/>
      <c r="AM1038" s="26"/>
      <c r="AN1038" s="26"/>
      <c r="AO1038" s="26"/>
      <c r="AP1038" s="26"/>
      <c r="AQ1038" s="26"/>
      <c r="AR1038" s="26"/>
      <c r="AS1038" s="26"/>
      <c r="AT1038" s="26"/>
      <c r="AU1038" s="26"/>
      <c r="AV1038" s="26"/>
      <c r="AW1038" s="26"/>
      <c r="AX1038" s="26"/>
      <c r="AY1038" s="26"/>
    </row>
    <row r="1039" spans="2:51">
      <c r="S1039" s="26"/>
      <c r="T1039" s="26"/>
      <c r="U1039" s="26"/>
      <c r="V1039" s="26"/>
      <c r="W1039" s="26"/>
      <c r="X1039" s="26"/>
      <c r="Y1039" s="26"/>
      <c r="Z1039" s="26"/>
      <c r="AA1039" s="26"/>
      <c r="AB1039" s="26"/>
      <c r="AC1039" s="26"/>
      <c r="AD1039" s="26"/>
      <c r="AE1039" s="26"/>
      <c r="AF1039" s="26"/>
      <c r="AG1039" s="26"/>
      <c r="AH1039" s="26"/>
      <c r="AI1039" s="26"/>
      <c r="AJ1039" s="26"/>
      <c r="AK1039" s="26"/>
      <c r="AL1039" s="26"/>
      <c r="AM1039" s="26"/>
      <c r="AN1039" s="26"/>
      <c r="AO1039" s="26"/>
      <c r="AP1039" s="26"/>
      <c r="AQ1039" s="26"/>
      <c r="AR1039" s="26"/>
      <c r="AS1039" s="26"/>
      <c r="AT1039" s="26"/>
      <c r="AU1039" s="26"/>
      <c r="AV1039" s="26"/>
      <c r="AW1039" s="26"/>
      <c r="AX1039" s="26"/>
      <c r="AY1039" s="26"/>
    </row>
    <row r="1040" spans="2:51">
      <c r="S1040" s="26"/>
      <c r="T1040" s="26"/>
      <c r="U1040" s="26"/>
      <c r="V1040" s="26"/>
      <c r="W1040" s="26"/>
      <c r="X1040" s="26"/>
      <c r="Y1040" s="26"/>
      <c r="Z1040" s="26"/>
      <c r="AA1040" s="26"/>
      <c r="AB1040" s="26"/>
      <c r="AC1040" s="26"/>
      <c r="AD1040" s="26"/>
      <c r="AE1040" s="26"/>
      <c r="AF1040" s="26"/>
      <c r="AG1040" s="26"/>
      <c r="AH1040" s="26"/>
      <c r="AI1040" s="26"/>
      <c r="AJ1040" s="26"/>
      <c r="AK1040" s="26"/>
      <c r="AL1040" s="26"/>
      <c r="AM1040" s="26"/>
      <c r="AN1040" s="26"/>
      <c r="AO1040" s="26"/>
      <c r="AP1040" s="26"/>
      <c r="AQ1040" s="26"/>
      <c r="AR1040" s="26"/>
      <c r="AS1040" s="26"/>
      <c r="AT1040" s="26"/>
      <c r="AU1040" s="26"/>
      <c r="AV1040" s="26"/>
      <c r="AW1040" s="26"/>
      <c r="AX1040" s="26"/>
      <c r="AY1040" s="26"/>
    </row>
    <row r="1041" spans="19:51">
      <c r="S1041" s="26"/>
      <c r="T1041" s="26"/>
      <c r="U1041" s="26"/>
      <c r="V1041" s="26"/>
      <c r="W1041" s="26"/>
      <c r="X1041" s="26"/>
      <c r="Y1041" s="26"/>
      <c r="Z1041" s="26"/>
      <c r="AA1041" s="26"/>
      <c r="AB1041" s="26"/>
      <c r="AC1041" s="26"/>
      <c r="AD1041" s="26"/>
      <c r="AE1041" s="26"/>
      <c r="AF1041" s="26"/>
      <c r="AG1041" s="26"/>
      <c r="AH1041" s="26"/>
      <c r="AI1041" s="26"/>
      <c r="AJ1041" s="26"/>
      <c r="AK1041" s="26"/>
      <c r="AL1041" s="26"/>
      <c r="AM1041" s="26"/>
      <c r="AN1041" s="26"/>
      <c r="AO1041" s="26"/>
      <c r="AP1041" s="26"/>
      <c r="AQ1041" s="26"/>
      <c r="AR1041" s="26"/>
      <c r="AS1041" s="26"/>
      <c r="AT1041" s="26"/>
      <c r="AU1041" s="26"/>
      <c r="AV1041" s="26"/>
      <c r="AW1041" s="26"/>
      <c r="AX1041" s="26"/>
      <c r="AY1041" s="26"/>
    </row>
    <row r="1042" spans="19:51">
      <c r="S1042" s="26"/>
      <c r="T1042" s="26"/>
      <c r="U1042" s="26"/>
      <c r="V1042" s="26"/>
      <c r="W1042" s="26"/>
      <c r="X1042" s="26"/>
      <c r="Y1042" s="26"/>
      <c r="Z1042" s="26"/>
      <c r="AA1042" s="26"/>
      <c r="AB1042" s="26"/>
      <c r="AC1042" s="26"/>
      <c r="AD1042" s="26"/>
      <c r="AE1042" s="26"/>
      <c r="AF1042" s="26"/>
      <c r="AG1042" s="26"/>
      <c r="AH1042" s="26"/>
      <c r="AI1042" s="26"/>
      <c r="AJ1042" s="26"/>
      <c r="AK1042" s="26"/>
      <c r="AL1042" s="26"/>
      <c r="AM1042" s="26"/>
      <c r="AN1042" s="26"/>
      <c r="AO1042" s="26"/>
      <c r="AP1042" s="26"/>
      <c r="AQ1042" s="26"/>
      <c r="AR1042" s="26"/>
      <c r="AS1042" s="26"/>
      <c r="AT1042" s="26"/>
      <c r="AU1042" s="26"/>
      <c r="AV1042" s="26"/>
      <c r="AW1042" s="26"/>
      <c r="AX1042" s="26"/>
      <c r="AY1042" s="26"/>
    </row>
    <row r="1043" spans="19:51">
      <c r="S1043" s="26"/>
      <c r="T1043" s="26"/>
      <c r="U1043" s="26"/>
      <c r="V1043" s="26"/>
      <c r="W1043" s="26"/>
      <c r="X1043" s="26"/>
      <c r="Y1043" s="26"/>
      <c r="Z1043" s="26"/>
      <c r="AA1043" s="26"/>
      <c r="AB1043" s="26"/>
      <c r="AC1043" s="26"/>
      <c r="AD1043" s="26"/>
      <c r="AE1043" s="26"/>
      <c r="AF1043" s="26"/>
      <c r="AG1043" s="26"/>
      <c r="AH1043" s="26"/>
      <c r="AI1043" s="26"/>
      <c r="AJ1043" s="26"/>
      <c r="AK1043" s="26"/>
      <c r="AL1043" s="26"/>
      <c r="AM1043" s="26"/>
      <c r="AN1043" s="26"/>
      <c r="AO1043" s="26"/>
      <c r="AP1043" s="26"/>
      <c r="AQ1043" s="26"/>
      <c r="AR1043" s="26"/>
      <c r="AS1043" s="26"/>
      <c r="AT1043" s="26"/>
      <c r="AU1043" s="26"/>
      <c r="AV1043" s="26"/>
      <c r="AW1043" s="26"/>
      <c r="AX1043" s="26"/>
      <c r="AY1043" s="26"/>
    </row>
    <row r="1044" spans="19:51">
      <c r="S1044" s="26"/>
      <c r="T1044" s="26"/>
      <c r="U1044" s="26"/>
      <c r="V1044" s="26"/>
      <c r="W1044" s="26"/>
      <c r="X1044" s="26"/>
      <c r="Y1044" s="26"/>
      <c r="Z1044" s="26"/>
      <c r="AA1044" s="26"/>
      <c r="AB1044" s="26"/>
      <c r="AC1044" s="26"/>
      <c r="AD1044" s="26"/>
      <c r="AE1044" s="26"/>
      <c r="AF1044" s="26"/>
      <c r="AG1044" s="26"/>
      <c r="AH1044" s="26"/>
      <c r="AI1044" s="26"/>
      <c r="AJ1044" s="26"/>
      <c r="AK1044" s="26"/>
      <c r="AL1044" s="26"/>
      <c r="AM1044" s="26"/>
      <c r="AN1044" s="26"/>
      <c r="AO1044" s="26"/>
      <c r="AP1044" s="26"/>
      <c r="AQ1044" s="26"/>
      <c r="AR1044" s="26"/>
      <c r="AS1044" s="26"/>
      <c r="AT1044" s="26"/>
      <c r="AU1044" s="26"/>
      <c r="AV1044" s="26"/>
      <c r="AW1044" s="26"/>
      <c r="AX1044" s="26"/>
      <c r="AY1044" s="26"/>
    </row>
    <row r="1045" spans="19:51">
      <c r="S1045" s="26"/>
      <c r="T1045" s="26"/>
      <c r="U1045" s="26"/>
      <c r="V1045" s="26"/>
      <c r="W1045" s="26"/>
      <c r="X1045" s="26"/>
      <c r="Y1045" s="26"/>
      <c r="Z1045" s="26"/>
      <c r="AA1045" s="26"/>
      <c r="AB1045" s="26"/>
      <c r="AC1045" s="26"/>
      <c r="AD1045" s="26"/>
      <c r="AE1045" s="26"/>
      <c r="AF1045" s="26"/>
      <c r="AG1045" s="26"/>
      <c r="AH1045" s="26"/>
      <c r="AI1045" s="26"/>
      <c r="AJ1045" s="26"/>
      <c r="AK1045" s="26"/>
      <c r="AL1045" s="26"/>
      <c r="AM1045" s="26"/>
      <c r="AN1045" s="26"/>
      <c r="AO1045" s="26"/>
      <c r="AP1045" s="26"/>
      <c r="AQ1045" s="26"/>
      <c r="AR1045" s="26"/>
      <c r="AS1045" s="26"/>
      <c r="AT1045" s="26"/>
      <c r="AU1045" s="26"/>
      <c r="AV1045" s="26"/>
      <c r="AW1045" s="26"/>
      <c r="AX1045" s="26"/>
      <c r="AY1045" s="26"/>
    </row>
    <row r="1046" spans="19:51">
      <c r="S1046" s="26"/>
      <c r="T1046" s="26"/>
      <c r="U1046" s="26"/>
      <c r="V1046" s="26"/>
      <c r="W1046" s="26"/>
      <c r="X1046" s="26"/>
      <c r="Y1046" s="26"/>
      <c r="Z1046" s="26"/>
      <c r="AA1046" s="26"/>
      <c r="AB1046" s="26"/>
      <c r="AC1046" s="26"/>
      <c r="AD1046" s="26"/>
      <c r="AE1046" s="26"/>
      <c r="AF1046" s="26"/>
      <c r="AG1046" s="26"/>
      <c r="AH1046" s="26"/>
      <c r="AI1046" s="26"/>
      <c r="AJ1046" s="26"/>
      <c r="AK1046" s="26"/>
      <c r="AL1046" s="26"/>
      <c r="AM1046" s="26"/>
      <c r="AN1046" s="26"/>
      <c r="AO1046" s="26"/>
      <c r="AP1046" s="26"/>
      <c r="AQ1046" s="26"/>
      <c r="AR1046" s="26"/>
      <c r="AS1046" s="26"/>
      <c r="AT1046" s="26"/>
      <c r="AU1046" s="26"/>
      <c r="AV1046" s="26"/>
      <c r="AW1046" s="26"/>
      <c r="AX1046" s="26"/>
      <c r="AY1046" s="26"/>
    </row>
    <row r="1047" spans="19:51">
      <c r="S1047" s="26"/>
      <c r="T1047" s="26"/>
      <c r="U1047" s="26"/>
      <c r="V1047" s="26"/>
      <c r="W1047" s="26"/>
      <c r="X1047" s="26"/>
      <c r="Y1047" s="26"/>
      <c r="Z1047" s="26"/>
      <c r="AA1047" s="26"/>
      <c r="AB1047" s="26"/>
      <c r="AC1047" s="26"/>
      <c r="AD1047" s="26"/>
      <c r="AE1047" s="26"/>
      <c r="AF1047" s="26"/>
      <c r="AG1047" s="26"/>
      <c r="AH1047" s="26"/>
      <c r="AI1047" s="26"/>
      <c r="AJ1047" s="26"/>
      <c r="AK1047" s="26"/>
      <c r="AL1047" s="26"/>
      <c r="AM1047" s="26"/>
      <c r="AN1047" s="26"/>
      <c r="AO1047" s="26"/>
      <c r="AP1047" s="26"/>
      <c r="AQ1047" s="26"/>
      <c r="AR1047" s="26"/>
      <c r="AS1047" s="26"/>
      <c r="AT1047" s="26"/>
      <c r="AU1047" s="26"/>
      <c r="AV1047" s="26"/>
      <c r="AW1047" s="26"/>
      <c r="AX1047" s="26"/>
      <c r="AY1047" s="26"/>
    </row>
    <row r="1048" spans="19:51">
      <c r="S1048" s="26"/>
      <c r="T1048" s="26"/>
      <c r="U1048" s="26"/>
      <c r="V1048" s="26"/>
      <c r="W1048" s="26"/>
      <c r="X1048" s="26"/>
      <c r="Y1048" s="26"/>
      <c r="Z1048" s="26"/>
      <c r="AA1048" s="26"/>
      <c r="AB1048" s="26"/>
      <c r="AC1048" s="26"/>
      <c r="AD1048" s="26"/>
      <c r="AE1048" s="26"/>
      <c r="AF1048" s="26"/>
      <c r="AG1048" s="26"/>
      <c r="AH1048" s="26"/>
      <c r="AI1048" s="26"/>
      <c r="AJ1048" s="26"/>
      <c r="AK1048" s="26"/>
      <c r="AL1048" s="26"/>
      <c r="AM1048" s="26"/>
      <c r="AN1048" s="26"/>
      <c r="AO1048" s="26"/>
      <c r="AP1048" s="26"/>
      <c r="AQ1048" s="26"/>
      <c r="AR1048" s="26"/>
      <c r="AS1048" s="26"/>
      <c r="AT1048" s="26"/>
      <c r="AU1048" s="26"/>
      <c r="AV1048" s="26"/>
      <c r="AW1048" s="26"/>
      <c r="AX1048" s="26"/>
      <c r="AY1048" s="26"/>
    </row>
    <row r="1049" spans="19:51">
      <c r="S1049" s="26"/>
      <c r="T1049" s="26"/>
      <c r="U1049" s="26"/>
      <c r="V1049" s="26"/>
      <c r="W1049" s="26"/>
      <c r="X1049" s="26"/>
      <c r="Y1049" s="26"/>
      <c r="Z1049" s="26"/>
      <c r="AA1049" s="26"/>
      <c r="AB1049" s="26"/>
      <c r="AC1049" s="26"/>
      <c r="AD1049" s="26"/>
      <c r="AE1049" s="26"/>
      <c r="AF1049" s="26"/>
      <c r="AG1049" s="26"/>
      <c r="AH1049" s="26"/>
      <c r="AI1049" s="26"/>
      <c r="AJ1049" s="26"/>
      <c r="AK1049" s="26"/>
      <c r="AL1049" s="26"/>
      <c r="AM1049" s="26"/>
      <c r="AN1049" s="26"/>
      <c r="AO1049" s="26"/>
      <c r="AP1049" s="26"/>
      <c r="AQ1049" s="26"/>
      <c r="AR1049" s="26"/>
      <c r="AS1049" s="26"/>
      <c r="AT1049" s="26"/>
      <c r="AU1049" s="26"/>
      <c r="AV1049" s="26"/>
      <c r="AW1049" s="26"/>
      <c r="AX1049" s="26"/>
      <c r="AY1049" s="26"/>
    </row>
    <row r="1050" spans="19:51">
      <c r="S1050" s="26"/>
      <c r="T1050" s="26"/>
      <c r="U1050" s="26"/>
      <c r="V1050" s="26"/>
      <c r="W1050" s="26"/>
      <c r="X1050" s="26"/>
      <c r="Y1050" s="26"/>
      <c r="Z1050" s="26"/>
      <c r="AA1050" s="26"/>
      <c r="AB1050" s="26"/>
      <c r="AC1050" s="26"/>
      <c r="AD1050" s="26"/>
      <c r="AE1050" s="26"/>
      <c r="AF1050" s="26"/>
      <c r="AG1050" s="26"/>
      <c r="AH1050" s="26"/>
      <c r="AI1050" s="26"/>
      <c r="AJ1050" s="26"/>
      <c r="AK1050" s="26"/>
      <c r="AL1050" s="26"/>
      <c r="AM1050" s="26"/>
      <c r="AN1050" s="26"/>
      <c r="AO1050" s="26"/>
      <c r="AP1050" s="26"/>
      <c r="AQ1050" s="26"/>
      <c r="AR1050" s="26"/>
      <c r="AS1050" s="26"/>
      <c r="AT1050" s="26"/>
      <c r="AU1050" s="26"/>
      <c r="AV1050" s="26"/>
      <c r="AW1050" s="26"/>
      <c r="AX1050" s="26"/>
      <c r="AY1050" s="26"/>
    </row>
    <row r="1051" spans="19:51">
      <c r="S1051" s="26"/>
      <c r="T1051" s="26"/>
      <c r="U1051" s="26"/>
      <c r="V1051" s="26"/>
      <c r="W1051" s="26"/>
      <c r="X1051" s="26"/>
      <c r="Y1051" s="26"/>
      <c r="Z1051" s="26"/>
      <c r="AA1051" s="26"/>
      <c r="AB1051" s="26"/>
      <c r="AC1051" s="26"/>
      <c r="AD1051" s="26"/>
      <c r="AE1051" s="26"/>
      <c r="AF1051" s="26"/>
      <c r="AG1051" s="26"/>
      <c r="AH1051" s="26"/>
      <c r="AI1051" s="26"/>
      <c r="AJ1051" s="26"/>
      <c r="AK1051" s="26"/>
      <c r="AL1051" s="26"/>
      <c r="AM1051" s="26"/>
      <c r="AN1051" s="26"/>
      <c r="AO1051" s="26"/>
      <c r="AP1051" s="26"/>
      <c r="AQ1051" s="26"/>
      <c r="AR1051" s="26"/>
      <c r="AS1051" s="26"/>
      <c r="AT1051" s="26"/>
      <c r="AU1051" s="26"/>
      <c r="AV1051" s="26"/>
      <c r="AW1051" s="26"/>
      <c r="AX1051" s="26"/>
      <c r="AY1051" s="26"/>
    </row>
    <row r="1052" spans="19:51">
      <c r="S1052" s="26"/>
      <c r="T1052" s="26"/>
      <c r="U1052" s="26"/>
      <c r="V1052" s="26"/>
      <c r="W1052" s="26"/>
      <c r="X1052" s="26"/>
      <c r="Y1052" s="26"/>
      <c r="Z1052" s="26"/>
      <c r="AA1052" s="26"/>
      <c r="AB1052" s="26"/>
      <c r="AC1052" s="26"/>
      <c r="AD1052" s="26"/>
      <c r="AE1052" s="26"/>
      <c r="AF1052" s="26"/>
      <c r="AG1052" s="26"/>
      <c r="AH1052" s="26"/>
      <c r="AI1052" s="26"/>
      <c r="AJ1052" s="26"/>
      <c r="AK1052" s="26"/>
      <c r="AL1052" s="26"/>
      <c r="AM1052" s="26"/>
      <c r="AN1052" s="26"/>
      <c r="AO1052" s="26"/>
      <c r="AP1052" s="26"/>
      <c r="AQ1052" s="26"/>
      <c r="AR1052" s="26"/>
      <c r="AS1052" s="26"/>
      <c r="AT1052" s="26"/>
      <c r="AU1052" s="26"/>
      <c r="AV1052" s="26"/>
      <c r="AW1052" s="26"/>
      <c r="AX1052" s="26"/>
      <c r="AY1052" s="26"/>
    </row>
    <row r="1053" spans="19:51">
      <c r="S1053" s="26"/>
      <c r="T1053" s="26"/>
      <c r="U1053" s="26"/>
      <c r="V1053" s="26"/>
      <c r="W1053" s="26"/>
      <c r="X1053" s="26"/>
      <c r="Y1053" s="26"/>
      <c r="Z1053" s="26"/>
      <c r="AA1053" s="26"/>
      <c r="AB1053" s="26"/>
      <c r="AC1053" s="26"/>
      <c r="AD1053" s="26"/>
      <c r="AE1053" s="26"/>
      <c r="AF1053" s="26"/>
      <c r="AG1053" s="26"/>
      <c r="AH1053" s="26"/>
      <c r="AI1053" s="26"/>
      <c r="AJ1053" s="26"/>
      <c r="AK1053" s="26"/>
      <c r="AL1053" s="26"/>
      <c r="AM1053" s="26"/>
      <c r="AN1053" s="26"/>
      <c r="AO1053" s="26"/>
      <c r="AP1053" s="26"/>
      <c r="AQ1053" s="26"/>
      <c r="AR1053" s="26"/>
      <c r="AS1053" s="26"/>
      <c r="AT1053" s="26"/>
      <c r="AU1053" s="26"/>
      <c r="AV1053" s="26"/>
      <c r="AW1053" s="26"/>
      <c r="AX1053" s="26"/>
      <c r="AY1053" s="26"/>
    </row>
    <row r="1054" spans="19:51">
      <c r="S1054" s="26"/>
      <c r="T1054" s="26"/>
      <c r="U1054" s="26"/>
      <c r="V1054" s="26"/>
      <c r="W1054" s="26"/>
      <c r="X1054" s="26"/>
      <c r="Y1054" s="26"/>
      <c r="Z1054" s="26"/>
      <c r="AA1054" s="26"/>
      <c r="AB1054" s="26"/>
      <c r="AC1054" s="26"/>
      <c r="AD1054" s="26"/>
      <c r="AE1054" s="26"/>
      <c r="AF1054" s="26"/>
      <c r="AG1054" s="26"/>
      <c r="AH1054" s="26"/>
      <c r="AI1054" s="26"/>
      <c r="AJ1054" s="26"/>
      <c r="AK1054" s="26"/>
      <c r="AL1054" s="26"/>
      <c r="AM1054" s="26"/>
      <c r="AN1054" s="26"/>
      <c r="AO1054" s="26"/>
      <c r="AP1054" s="26"/>
      <c r="AQ1054" s="26"/>
      <c r="AR1054" s="26"/>
      <c r="AS1054" s="26"/>
      <c r="AT1054" s="26"/>
      <c r="AU1054" s="26"/>
      <c r="AV1054" s="26"/>
      <c r="AW1054" s="26"/>
      <c r="AX1054" s="26"/>
      <c r="AY1054" s="26"/>
    </row>
    <row r="1055" spans="19:51">
      <c r="S1055" s="26"/>
      <c r="T1055" s="26"/>
      <c r="U1055" s="26"/>
      <c r="V1055" s="26"/>
      <c r="W1055" s="26"/>
      <c r="X1055" s="26"/>
      <c r="Y1055" s="26"/>
      <c r="Z1055" s="26"/>
      <c r="AA1055" s="26"/>
      <c r="AB1055" s="26"/>
      <c r="AC1055" s="26"/>
      <c r="AD1055" s="26"/>
      <c r="AE1055" s="26"/>
      <c r="AF1055" s="26"/>
      <c r="AG1055" s="26"/>
      <c r="AH1055" s="26"/>
      <c r="AI1055" s="26"/>
      <c r="AJ1055" s="26"/>
      <c r="AK1055" s="26"/>
      <c r="AL1055" s="26"/>
      <c r="AM1055" s="26"/>
      <c r="AN1055" s="26"/>
      <c r="AO1055" s="26"/>
      <c r="AP1055" s="26"/>
      <c r="AQ1055" s="26"/>
      <c r="AR1055" s="26"/>
      <c r="AS1055" s="26"/>
      <c r="AT1055" s="26"/>
      <c r="AU1055" s="26"/>
      <c r="AV1055" s="26"/>
      <c r="AW1055" s="26"/>
      <c r="AX1055" s="26"/>
      <c r="AY1055" s="26"/>
    </row>
    <row r="1056" spans="19:51">
      <c r="S1056" s="26"/>
      <c r="T1056" s="26"/>
      <c r="U1056" s="26"/>
      <c r="V1056" s="26"/>
      <c r="W1056" s="26"/>
      <c r="X1056" s="26"/>
      <c r="Y1056" s="26"/>
      <c r="Z1056" s="26"/>
      <c r="AA1056" s="26"/>
      <c r="AB1056" s="26"/>
      <c r="AC1056" s="26"/>
      <c r="AD1056" s="26"/>
      <c r="AE1056" s="26"/>
      <c r="AF1056" s="26"/>
      <c r="AG1056" s="26"/>
      <c r="AH1056" s="26"/>
      <c r="AI1056" s="26"/>
      <c r="AJ1056" s="26"/>
      <c r="AK1056" s="26"/>
      <c r="AL1056" s="26"/>
      <c r="AM1056" s="26"/>
      <c r="AN1056" s="26"/>
      <c r="AO1056" s="26"/>
      <c r="AP1056" s="26"/>
      <c r="AQ1056" s="26"/>
      <c r="AR1056" s="26"/>
      <c r="AS1056" s="26"/>
      <c r="AT1056" s="26"/>
      <c r="AU1056" s="26"/>
      <c r="AV1056" s="26"/>
      <c r="AW1056" s="26"/>
      <c r="AX1056" s="26"/>
      <c r="AY1056" s="26"/>
    </row>
    <row r="1057" spans="2:51">
      <c r="C1057" s="60"/>
      <c r="D1057" s="60"/>
      <c r="S1057" s="26"/>
      <c r="T1057" s="26"/>
      <c r="U1057" s="26"/>
      <c r="V1057" s="26"/>
      <c r="W1057" s="26"/>
      <c r="X1057" s="26"/>
      <c r="Y1057" s="26"/>
      <c r="Z1057" s="26"/>
      <c r="AA1057" s="26"/>
      <c r="AB1057" s="26"/>
      <c r="AC1057" s="26"/>
      <c r="AD1057" s="26"/>
      <c r="AE1057" s="26"/>
      <c r="AF1057" s="26"/>
      <c r="AG1057" s="26"/>
      <c r="AH1057" s="26"/>
      <c r="AI1057" s="26"/>
      <c r="AJ1057" s="26"/>
      <c r="AK1057" s="26"/>
      <c r="AL1057" s="26"/>
      <c r="AM1057" s="26"/>
      <c r="AN1057" s="26"/>
      <c r="AO1057" s="26"/>
      <c r="AP1057" s="26"/>
      <c r="AQ1057" s="26"/>
      <c r="AR1057" s="26"/>
      <c r="AS1057" s="26"/>
      <c r="AT1057" s="26"/>
      <c r="AU1057" s="26"/>
      <c r="AV1057" s="26"/>
      <c r="AW1057" s="26"/>
      <c r="AX1057" s="26"/>
      <c r="AY1057" s="26"/>
    </row>
    <row r="1058" spans="2:51">
      <c r="C1058" s="60"/>
      <c r="D1058" s="60"/>
      <c r="S1058" s="26"/>
      <c r="T1058" s="26"/>
      <c r="U1058" s="26"/>
      <c r="V1058" s="26"/>
      <c r="W1058" s="26"/>
      <c r="X1058" s="26"/>
      <c r="Y1058" s="26"/>
      <c r="Z1058" s="26"/>
      <c r="AA1058" s="26"/>
      <c r="AB1058" s="26"/>
      <c r="AC1058" s="26"/>
      <c r="AD1058" s="26"/>
      <c r="AE1058" s="26"/>
      <c r="AF1058" s="26"/>
      <c r="AG1058" s="26"/>
      <c r="AH1058" s="26"/>
      <c r="AI1058" s="26"/>
      <c r="AJ1058" s="26"/>
      <c r="AK1058" s="26"/>
      <c r="AL1058" s="26"/>
      <c r="AM1058" s="26"/>
      <c r="AN1058" s="26"/>
      <c r="AO1058" s="26"/>
      <c r="AP1058" s="26"/>
      <c r="AQ1058" s="26"/>
      <c r="AR1058" s="26"/>
      <c r="AS1058" s="26"/>
      <c r="AT1058" s="26"/>
      <c r="AU1058" s="26"/>
      <c r="AV1058" s="26"/>
      <c r="AW1058" s="26"/>
      <c r="AX1058" s="26"/>
      <c r="AY1058" s="26"/>
    </row>
    <row r="1059" spans="2:51">
      <c r="C1059" s="60"/>
      <c r="D1059" s="60"/>
      <c r="S1059" s="26"/>
      <c r="T1059" s="26"/>
      <c r="U1059" s="26"/>
      <c r="V1059" s="26"/>
      <c r="W1059" s="26"/>
      <c r="X1059" s="26"/>
      <c r="Y1059" s="26"/>
      <c r="Z1059" s="26"/>
      <c r="AA1059" s="26"/>
      <c r="AB1059" s="26"/>
      <c r="AC1059" s="26"/>
      <c r="AD1059" s="26"/>
      <c r="AE1059" s="26"/>
      <c r="AF1059" s="26"/>
      <c r="AG1059" s="26"/>
      <c r="AH1059" s="26"/>
      <c r="AI1059" s="26"/>
      <c r="AJ1059" s="26"/>
      <c r="AK1059" s="26"/>
      <c r="AL1059" s="26"/>
      <c r="AM1059" s="26"/>
      <c r="AN1059" s="26"/>
      <c r="AO1059" s="26"/>
      <c r="AP1059" s="26"/>
      <c r="AQ1059" s="26"/>
      <c r="AR1059" s="26"/>
      <c r="AS1059" s="26"/>
      <c r="AT1059" s="26"/>
      <c r="AU1059" s="26"/>
      <c r="AV1059" s="26"/>
      <c r="AW1059" s="26"/>
      <c r="AX1059" s="26"/>
      <c r="AY1059" s="26"/>
    </row>
    <row r="1060" spans="2:51">
      <c r="E1060" s="16"/>
      <c r="F1060" s="16"/>
      <c r="G1060" s="16"/>
      <c r="H1060" s="16"/>
      <c r="I1060" s="16"/>
      <c r="J1060" s="16"/>
      <c r="K1060" s="16"/>
      <c r="L1060" s="16"/>
      <c r="M1060" s="16"/>
      <c r="N1060" s="16"/>
      <c r="O1060" s="16"/>
      <c r="S1060" s="38"/>
      <c r="T1060" s="38"/>
      <c r="U1060" s="38"/>
      <c r="V1060" s="38"/>
      <c r="W1060" s="26"/>
      <c r="X1060" s="26"/>
      <c r="Y1060" s="26"/>
      <c r="Z1060" s="26"/>
      <c r="AA1060" s="26"/>
      <c r="AB1060" s="26"/>
      <c r="AC1060" s="26"/>
      <c r="AD1060" s="26"/>
      <c r="AE1060" s="26"/>
      <c r="AF1060" s="26"/>
      <c r="AG1060" s="26"/>
      <c r="AH1060" s="26"/>
      <c r="AI1060" s="26"/>
      <c r="AJ1060" s="26"/>
      <c r="AK1060" s="26"/>
      <c r="AL1060" s="26"/>
      <c r="AM1060" s="26"/>
      <c r="AN1060" s="26"/>
      <c r="AO1060" s="26"/>
      <c r="AP1060" s="26"/>
      <c r="AQ1060" s="26"/>
      <c r="AR1060" s="26"/>
      <c r="AS1060" s="26"/>
      <c r="AT1060" s="26"/>
      <c r="AU1060" s="26"/>
      <c r="AV1060" s="26"/>
      <c r="AW1060" s="26"/>
      <c r="AX1060" s="26"/>
      <c r="AY1060" s="26"/>
    </row>
    <row r="1061" spans="2:51">
      <c r="B1061" s="388" t="s">
        <v>284</v>
      </c>
      <c r="C1061" s="389" t="s">
        <v>129</v>
      </c>
      <c r="D1061" s="389" t="s">
        <v>129</v>
      </c>
      <c r="S1061" s="26"/>
      <c r="T1061" s="26"/>
      <c r="U1061" s="26"/>
      <c r="V1061" s="26"/>
      <c r="W1061" s="26"/>
      <c r="X1061" s="26"/>
      <c r="Y1061" s="26"/>
      <c r="Z1061" s="26"/>
      <c r="AA1061" s="26"/>
      <c r="AB1061" s="26"/>
      <c r="AC1061" s="26"/>
      <c r="AD1061" s="26"/>
      <c r="AE1061" s="26"/>
      <c r="AF1061" s="26"/>
      <c r="AG1061" s="26"/>
      <c r="AH1061" s="26"/>
      <c r="AI1061" s="26"/>
      <c r="AJ1061" s="26"/>
      <c r="AK1061" s="26"/>
      <c r="AL1061" s="26"/>
      <c r="AM1061" s="26"/>
      <c r="AN1061" s="26"/>
      <c r="AO1061" s="26"/>
      <c r="AP1061" s="26"/>
      <c r="AQ1061" s="26"/>
      <c r="AR1061" s="26"/>
      <c r="AS1061" s="26"/>
      <c r="AT1061" s="26"/>
      <c r="AU1061" s="26"/>
      <c r="AV1061" s="26"/>
      <c r="AW1061" s="26"/>
      <c r="AX1061" s="26"/>
      <c r="AY1061" s="26"/>
    </row>
    <row r="1062" spans="2:51">
      <c r="B1062" s="390"/>
      <c r="C1062" s="389" t="s">
        <v>191</v>
      </c>
      <c r="D1062" s="389" t="s">
        <v>192</v>
      </c>
      <c r="S1062" s="26"/>
      <c r="T1062" s="26"/>
      <c r="U1062" s="26"/>
      <c r="V1062" s="26"/>
      <c r="W1062" s="26"/>
      <c r="X1062" s="26"/>
      <c r="Y1062" s="26"/>
      <c r="Z1062" s="26"/>
      <c r="AA1062" s="26"/>
      <c r="AB1062" s="26"/>
      <c r="AC1062" s="26"/>
      <c r="AD1062" s="26"/>
      <c r="AE1062" s="26"/>
      <c r="AF1062" s="26"/>
      <c r="AG1062" s="26"/>
      <c r="AH1062" s="26"/>
      <c r="AI1062" s="26"/>
      <c r="AJ1062" s="26"/>
      <c r="AK1062" s="26"/>
      <c r="AL1062" s="26"/>
      <c r="AM1062" s="26"/>
      <c r="AN1062" s="26"/>
      <c r="AO1062" s="26"/>
      <c r="AP1062" s="26"/>
      <c r="AQ1062" s="26"/>
      <c r="AR1062" s="26"/>
      <c r="AS1062" s="26"/>
      <c r="AT1062" s="26"/>
      <c r="AU1062" s="26"/>
      <c r="AV1062" s="26"/>
      <c r="AW1062" s="26"/>
      <c r="AX1062" s="26"/>
      <c r="AY1062" s="26"/>
    </row>
    <row r="1063" spans="2:51">
      <c r="B1063" s="390" t="s">
        <v>193</v>
      </c>
      <c r="C1063" s="370"/>
      <c r="D1063" s="370">
        <f>SUM('2018'!$AE$8:$AE$14)+'2018'!$AE$69+'2018'!$AE$78</f>
        <v>1523.7080781374202</v>
      </c>
      <c r="S1063" s="26"/>
      <c r="T1063" s="26"/>
      <c r="U1063" s="26"/>
      <c r="V1063" s="26"/>
      <c r="W1063" s="26"/>
      <c r="X1063" s="26"/>
      <c r="Y1063" s="26"/>
      <c r="Z1063" s="26"/>
      <c r="AA1063" s="26"/>
      <c r="AB1063" s="26"/>
      <c r="AC1063" s="26"/>
      <c r="AD1063" s="26"/>
      <c r="AE1063" s="26"/>
      <c r="AF1063" s="26"/>
      <c r="AG1063" s="26"/>
      <c r="AH1063" s="26"/>
      <c r="AI1063" s="26"/>
      <c r="AJ1063" s="26"/>
      <c r="AK1063" s="26"/>
      <c r="AL1063" s="26"/>
      <c r="AM1063" s="26"/>
      <c r="AN1063" s="26"/>
      <c r="AO1063" s="26"/>
      <c r="AP1063" s="26"/>
      <c r="AQ1063" s="26"/>
      <c r="AR1063" s="26"/>
      <c r="AS1063" s="26"/>
      <c r="AT1063" s="26"/>
      <c r="AU1063" s="26"/>
      <c r="AV1063" s="26"/>
      <c r="AW1063" s="26"/>
      <c r="AX1063" s="26"/>
      <c r="AY1063" s="26"/>
    </row>
    <row r="1064" spans="2:51">
      <c r="B1064" s="390" t="s">
        <v>194</v>
      </c>
      <c r="C1064" s="370"/>
      <c r="D1064" s="370">
        <f>-(SUM('2018'!$AD$8:$AD$14)+SUM('2018'!$AE$8:$AE$14))-('2018'!$AD$48+'2018'!$AE$48)-('2018'!$AD$49+'2018'!$AE$49)-('2018'!$AD$57+'2018'!$AE$57)-('2018'!$AD$58+'2018'!$AE$58)-('2018'!$AD$78+'2018'!$AE$78)</f>
        <v>135.20109784235137</v>
      </c>
      <c r="S1064" s="26"/>
      <c r="T1064" s="26"/>
      <c r="U1064" s="26"/>
      <c r="V1064" s="26"/>
      <c r="W1064" s="26"/>
      <c r="X1064" s="26"/>
      <c r="Y1064" s="26"/>
      <c r="Z1064" s="26"/>
      <c r="AA1064" s="26"/>
      <c r="AB1064" s="26"/>
      <c r="AC1064" s="26"/>
      <c r="AD1064" s="26"/>
      <c r="AE1064" s="26"/>
      <c r="AF1064" s="26"/>
      <c r="AG1064" s="26"/>
      <c r="AH1064" s="26"/>
      <c r="AI1064" s="26"/>
      <c r="AJ1064" s="26"/>
      <c r="AK1064" s="26"/>
      <c r="AL1064" s="26"/>
      <c r="AM1064" s="26"/>
      <c r="AN1064" s="26"/>
      <c r="AO1064" s="26"/>
      <c r="AP1064" s="26"/>
      <c r="AQ1064" s="26"/>
      <c r="AR1064" s="26"/>
      <c r="AS1064" s="26"/>
      <c r="AT1064" s="26"/>
      <c r="AU1064" s="26"/>
      <c r="AV1064" s="26"/>
      <c r="AW1064" s="26"/>
      <c r="AX1064" s="26"/>
      <c r="AY1064" s="26"/>
    </row>
    <row r="1065" spans="2:51">
      <c r="B1065" s="391" t="s">
        <v>195</v>
      </c>
      <c r="C1065" s="370"/>
      <c r="D1065" s="370">
        <f>'2018'!$AE$37+'2018'!$AE$38++'2018'!$AE$48+'2018'!$AE$49+'2018'!$AE$57+'2018'!$AE$58</f>
        <v>0</v>
      </c>
      <c r="S1065" s="26"/>
      <c r="T1065" s="26"/>
      <c r="U1065" s="26"/>
      <c r="V1065" s="26"/>
      <c r="W1065" s="26"/>
      <c r="X1065" s="26"/>
      <c r="Y1065" s="26"/>
      <c r="Z1065" s="26"/>
      <c r="AA1065" s="26"/>
      <c r="AB1065" s="26"/>
      <c r="AC1065" s="26"/>
      <c r="AD1065" s="26"/>
      <c r="AE1065" s="26"/>
      <c r="AF1065" s="26"/>
      <c r="AG1065" s="26"/>
      <c r="AH1065" s="26"/>
      <c r="AI1065" s="26"/>
      <c r="AJ1065" s="26"/>
      <c r="AK1065" s="26"/>
      <c r="AL1065" s="26"/>
      <c r="AM1065" s="26"/>
      <c r="AN1065" s="26"/>
      <c r="AO1065" s="26"/>
      <c r="AP1065" s="26"/>
      <c r="AQ1065" s="26"/>
      <c r="AR1065" s="26"/>
      <c r="AS1065" s="26"/>
      <c r="AT1065" s="26"/>
      <c r="AU1065" s="26"/>
      <c r="AV1065" s="26"/>
      <c r="AW1065" s="26"/>
      <c r="AX1065" s="26"/>
      <c r="AY1065" s="26"/>
    </row>
    <row r="1066" spans="2:51">
      <c r="B1066" s="391"/>
      <c r="C1066" s="370"/>
      <c r="D1066" s="370"/>
      <c r="S1066" s="26"/>
      <c r="T1066" s="26"/>
      <c r="U1066" s="26"/>
      <c r="V1066" s="26"/>
      <c r="W1066" s="26"/>
      <c r="X1066" s="26"/>
      <c r="Y1066" s="26"/>
      <c r="Z1066" s="26"/>
      <c r="AA1066" s="26"/>
      <c r="AB1066" s="26"/>
      <c r="AC1066" s="26"/>
      <c r="AD1066" s="26"/>
      <c r="AE1066" s="26"/>
      <c r="AF1066" s="26"/>
      <c r="AG1066" s="26"/>
      <c r="AH1066" s="26"/>
      <c r="AI1066" s="26"/>
      <c r="AJ1066" s="26"/>
      <c r="AK1066" s="26"/>
      <c r="AL1066" s="26"/>
      <c r="AM1066" s="26"/>
      <c r="AN1066" s="26"/>
      <c r="AO1066" s="26"/>
      <c r="AP1066" s="26"/>
      <c r="AQ1066" s="26"/>
      <c r="AR1066" s="26"/>
      <c r="AS1066" s="26"/>
      <c r="AT1066" s="26"/>
      <c r="AU1066" s="26"/>
      <c r="AV1066" s="26"/>
      <c r="AW1066" s="26"/>
      <c r="AX1066" s="26"/>
      <c r="AY1066" s="26"/>
    </row>
    <row r="1067" spans="2:51">
      <c r="B1067" s="390" t="s">
        <v>135</v>
      </c>
      <c r="C1067" s="370">
        <f>'2018'!$E$33*'2018'!$Z$33/100+'2018'!$E$34*'2018'!$Z$34/100+'2018'!$E$35*'2018'!$Z$35/100+'2018'!$E$36*'2018'!$Z$36/100+'2018'!$E$39*'2018'!$Z$39/100+'2018'!$E$40*'2018'!$Z$40/100+'2018'!$E$41*'2018'!$Z$41/100+'2018'!$E$42*'2018'!$Z$42/100+'2018'!$E$43*'2018'!$Z$43/100+'2018'!$E$44*'2018'!$Z$44/100+'2018'!$E$45*'2018'!$Z$45/100+'2018'!$E$46*'2018'!$Z$46/100+'2018'!$E$47*'2018'!$Z$47/100+'2018'!$E$48*'2018'!$Z$48/100+'2018'!$E$49*'2018'!$Z$49/100+'2018'!$E$50*'2018'!$Z$50/100+'2018'!$E$51*'2018'!$Z$51/100+'2018'!$E$52*'2018'!$Z$52/100+'2018'!$E$32*'2018'!$Z$32/100+'2018'!$E$53*'2018'!$Z$53/100+'2018'!$E$54*'2018'!$Z$54/100+'2018'!$E$55*'2018'!$Z$55/100+'2018'!$E$56*'2018'!$Z$56/100+'2018'!$E$57*'2018'!$Z$57/100+'2018'!$E$58*'2018'!$Z$58/100+'2018'!$E$59*'2018'!$Z$59/100+'2018'!$E$60*'2018'!$Z$60/100+'2018'!$E$61*'2018'!$Z$61/100+'2018'!$E$62*'2018'!$Z$62/100+'2018'!$E$63*'2018'!$Z$63/100+'2018'!$E$64*'2018'!$Z$64/100+'2018'!$E$65*'2018'!$Z$65/100+'2018'!$E$66*'2018'!$Z$66/100+'2018'!$E$67*'2018'!$Z$67/100+'2018'!$E$68*'2018'!$Z$68/100</f>
        <v>0</v>
      </c>
      <c r="D1067" s="370"/>
      <c r="S1067" s="26"/>
      <c r="T1067" s="26"/>
      <c r="U1067" s="26"/>
      <c r="V1067" s="26"/>
      <c r="W1067" s="26"/>
      <c r="X1067" s="26"/>
      <c r="Y1067" s="26"/>
      <c r="Z1067" s="26"/>
      <c r="AA1067" s="26"/>
      <c r="AB1067" s="26"/>
      <c r="AC1067" s="26"/>
      <c r="AD1067" s="26"/>
      <c r="AE1067" s="26"/>
      <c r="AF1067" s="26"/>
      <c r="AG1067" s="26"/>
      <c r="AH1067" s="26"/>
      <c r="AI1067" s="26"/>
      <c r="AJ1067" s="26"/>
      <c r="AK1067" s="26"/>
      <c r="AL1067" s="26"/>
      <c r="AM1067" s="26"/>
      <c r="AN1067" s="26"/>
      <c r="AO1067" s="26"/>
      <c r="AP1067" s="26"/>
      <c r="AQ1067" s="26"/>
      <c r="AR1067" s="26"/>
      <c r="AS1067" s="26"/>
      <c r="AT1067" s="26"/>
      <c r="AU1067" s="26"/>
      <c r="AV1067" s="26"/>
      <c r="AW1067" s="26"/>
      <c r="AX1067" s="26"/>
      <c r="AY1067" s="26"/>
    </row>
    <row r="1068" spans="2:51">
      <c r="B1068" s="390" t="s">
        <v>132</v>
      </c>
      <c r="C1068" s="370">
        <f>'2018'!$C$33*'2018'!$Z$33/100+'2018'!$C$34*'2018'!$Z$34/100+'2018'!$C$35*'2018'!$Z$35/100+'2018'!$C$36*'2018'!$Z$36/100+'2018'!$C$39*'2018'!$Z$39/100+'2018'!$C$40*'2018'!$Z$40/100+'2018'!$C$41*'2018'!$Z$41/100+'2018'!$C$42*'2018'!$Z$42/100+'2018'!$C$43*'2018'!$Z$43/100+'2018'!$C$44*'2018'!$Z$44/100+'2018'!$C$45*'2018'!$Z$45/100+'2018'!$C$46*'2018'!$Z$46/100+'2018'!$C$47*'2018'!$Z$47/100+'2018'!$C$48*'2018'!$Z$48/100+'2018'!$C$49*'2018'!$Z$49/100+'2018'!$C$50*'2018'!$Z$50/100+'2018'!$C$51*'2018'!$Z$51/100+'2018'!$C$52*'2018'!$Z$52/100+'2018'!$C$32*'2018'!$Z$32/100+'2018'!$C$53*'2018'!$Z$53/100+'2018'!$C$54*'2018'!$Z$54/100+'2018'!$C$55*'2018'!$Z$55/100+'2018'!$C$56*'2018'!$Z$56/100+'2018'!$C$57*'2018'!$Z$57/100+'2018'!$C$58*'2018'!$Z$58/100+'2018'!$C$59*'2018'!$Z$59/100+'2018'!$C$60*'2018'!$Z$60/100+'2018'!$C$61*'2018'!$Z$61/100+'2018'!$C$62*'2018'!$Z$62/100+'2018'!$C$63*'2018'!$Z$63/100+'2018'!$C$64*'2018'!$Z$64/100+'2018'!$C$65*'2018'!$Z$65/100+'2018'!$C$66*'2018'!$Z$66/100+'2018'!$C$67*'2018'!$Z$67/100+'2018'!$C$68*'2018'!$Z$68/100</f>
        <v>1.8228000000000002</v>
      </c>
      <c r="D1068" s="370"/>
      <c r="J1068" s="16"/>
      <c r="S1068" s="26"/>
      <c r="T1068" s="26"/>
      <c r="U1068" s="26"/>
      <c r="V1068" s="26"/>
      <c r="W1068" s="26"/>
      <c r="X1068" s="26"/>
      <c r="Y1068" s="26"/>
      <c r="Z1068" s="26"/>
      <c r="AA1068" s="26"/>
      <c r="AB1068" s="26"/>
      <c r="AC1068" s="26"/>
      <c r="AD1068" s="26"/>
      <c r="AE1068" s="26"/>
      <c r="AF1068" s="26"/>
      <c r="AG1068" s="26"/>
      <c r="AH1068" s="26"/>
      <c r="AI1068" s="26"/>
      <c r="AJ1068" s="26"/>
      <c r="AK1068" s="26"/>
      <c r="AL1068" s="26"/>
      <c r="AM1068" s="26"/>
      <c r="AN1068" s="26"/>
      <c r="AO1068" s="26"/>
      <c r="AP1068" s="26"/>
      <c r="AQ1068" s="26"/>
      <c r="AR1068" s="26"/>
      <c r="AS1068" s="26"/>
      <c r="AT1068" s="26"/>
      <c r="AU1068" s="26"/>
      <c r="AV1068" s="26"/>
      <c r="AW1068" s="26"/>
      <c r="AX1068" s="26"/>
      <c r="AY1068" s="26"/>
    </row>
    <row r="1069" spans="2:51">
      <c r="B1069" s="390" t="s">
        <v>134</v>
      </c>
      <c r="C1069" s="370">
        <f>'2018'!$D$33*'2018'!$Z$33/100+'2018'!$D$34*'2018'!$Z$34/100+'2018'!$D$35*'2018'!$Z$35/100+'2018'!$D$36*'2018'!$Z$36/100+'2018'!$D$39*'2018'!$Z$39/100+'2018'!$D$40*'2018'!$Z$40/100+'2018'!$D$41*'2018'!$Z$41/100+'2018'!$D$42*'2018'!$Z$42/100+'2018'!$D$43*'2018'!$Z$43/100+'2018'!$D$44*'2018'!$Z$44/100+'2018'!$D$45*'2018'!$Z$45/100+'2018'!$D$46*'2018'!$Z$46/100+'2018'!$D$47*'2018'!$Z$47/100+'2018'!$D$48*'2018'!$Z$48/100+'2018'!$D$49*'2018'!$Z$49/100+'2018'!$D$50*'2018'!$Z$50/100+'2018'!$D$51*'2018'!$Z$51/100+'2018'!$D$52*'2018'!$Z$52/100+'2018'!$D$32*'2018'!$Z$32/100+'2018'!$D$53*'2018'!$Z$53/100+'2018'!$D$54*'2018'!$Z$54/100+'2018'!$D$55*'2018'!$Z$55/100+'2018'!$D$56*'2018'!$Z$56/100+'2018'!$D$57*'2018'!$Z$57/100+'2018'!$D$58*'2018'!$Z$58/100+'2018'!$D$59*'2018'!$Z$59/100+'2018'!$D$60*'2018'!$Z$60/100+'2018'!$D$61*'2018'!$Z$61/100+'2018'!$D$62*'2018'!$Z$62/100+'2018'!$D$63*'2018'!$Z$63/100+'2018'!$D$64*'2018'!$Z$64/100+'2018'!$D$65*'2018'!$Z$65/100+'2018'!$D$66*'2018'!$Z$66/100+'2018'!$D$67*'2018'!$Z$67/100+'2018'!$D$68*'2018'!$Z$68/100</f>
        <v>0</v>
      </c>
      <c r="D1069" s="370"/>
      <c r="F1069" s="101"/>
      <c r="G1069" s="101"/>
      <c r="J1069" s="16"/>
      <c r="S1069" s="26"/>
      <c r="T1069" s="26"/>
      <c r="U1069" s="26"/>
      <c r="V1069" s="26"/>
      <c r="W1069" s="26"/>
      <c r="X1069" s="26"/>
      <c r="Y1069" s="26"/>
      <c r="Z1069" s="26"/>
      <c r="AA1069" s="26"/>
      <c r="AB1069" s="26"/>
      <c r="AC1069" s="26"/>
      <c r="AD1069" s="26"/>
      <c r="AE1069" s="26"/>
      <c r="AF1069" s="26"/>
      <c r="AG1069" s="26"/>
      <c r="AH1069" s="26"/>
      <c r="AI1069" s="26"/>
      <c r="AJ1069" s="26"/>
      <c r="AK1069" s="26"/>
      <c r="AL1069" s="26"/>
      <c r="AM1069" s="26"/>
      <c r="AN1069" s="26"/>
      <c r="AO1069" s="26"/>
      <c r="AP1069" s="26"/>
      <c r="AQ1069" s="26"/>
      <c r="AR1069" s="26"/>
      <c r="AS1069" s="26"/>
      <c r="AT1069" s="26"/>
      <c r="AU1069" s="26"/>
      <c r="AV1069" s="26"/>
      <c r="AW1069" s="26"/>
      <c r="AX1069" s="26"/>
      <c r="AY1069" s="26"/>
    </row>
    <row r="1070" spans="2:51">
      <c r="B1070" s="390" t="s">
        <v>199</v>
      </c>
      <c r="C1070" s="370">
        <f>'2018'!$I$33*'2018'!$Z$33/100+'2018'!$I$34*'2018'!$Z$34/100+'2018'!$I$35*'2018'!$Z$35/100+'2018'!$I$36*'2018'!$Z$36/100+'2018'!$I$39*'2018'!$Z$39/100+'2018'!$I$40*'2018'!$Z$40/100+'2018'!$I$41*'2018'!$Z$41/100+'2018'!$I$42*'2018'!$Z$42/100+'2018'!$I$43*'2018'!$Z$43/100+'2018'!$I$44*'2018'!$Z$44/100+'2018'!$I$45*'2018'!$Z$45/100+'2018'!$I$46*'2018'!$Z$46/100+'2018'!$I$47*'2018'!$Z$47/100+'2018'!$I$48*'2018'!$Z$48/100+'2018'!$I$49*'2018'!$Z$49/100+'2018'!$I$50*'2018'!$Z$50/100+'2018'!$I$51*'2018'!$Z$51/100+'2018'!$I$52*'2018'!$Z$52/100+'2018'!$I$32*'2018'!$Z$32/100+'2018'!$I$53*'2018'!$Z$53/100+'2018'!$I$54*'2018'!$Z$54/100+'2018'!$I$55*'2018'!$Z$55/100+'2018'!$I$56*'2018'!$Z$56/100+'2018'!$I$57*'2018'!$Z$57/100+'2018'!$I$58*'2018'!$Z$58/100+'2018'!$I$59*'2018'!$Z$59/100+'2018'!$I$60*'2018'!$Z$60/100+'2018'!$I$61*'2018'!$Z$61/100+'2018'!$I$62*'2018'!$Z$62/100+'2018'!$I$63*'2018'!$Z$63/100+'2018'!$I$64*'2018'!$Z$64/100+'2018'!$I$65*'2018'!$Z$65/100+'2018'!$I$66*'2018'!$Z$66/100+'2018'!$I$67*'2018'!$Z$67/100+'2018'!$I$68*'2018'!$Z$68/100</f>
        <v>39.7256</v>
      </c>
      <c r="D1070" s="370"/>
      <c r="F1070" s="101"/>
      <c r="G1070" s="101"/>
      <c r="J1070" s="16"/>
      <c r="S1070" s="26"/>
      <c r="T1070" s="26"/>
      <c r="U1070" s="26"/>
      <c r="V1070" s="26"/>
      <c r="W1070" s="26"/>
      <c r="X1070" s="26"/>
      <c r="Y1070" s="26"/>
      <c r="Z1070" s="26"/>
      <c r="AA1070" s="26"/>
      <c r="AB1070" s="26"/>
      <c r="AC1070" s="26"/>
      <c r="AD1070" s="26"/>
      <c r="AE1070" s="26"/>
      <c r="AF1070" s="26"/>
      <c r="AG1070" s="26"/>
      <c r="AH1070" s="26"/>
      <c r="AI1070" s="26"/>
      <c r="AJ1070" s="26"/>
      <c r="AK1070" s="26"/>
      <c r="AL1070" s="26"/>
      <c r="AM1070" s="26"/>
      <c r="AN1070" s="26"/>
      <c r="AO1070" s="26"/>
      <c r="AP1070" s="26"/>
      <c r="AQ1070" s="26"/>
      <c r="AR1070" s="26"/>
      <c r="AS1070" s="26"/>
      <c r="AT1070" s="26"/>
      <c r="AU1070" s="26"/>
      <c r="AV1070" s="26"/>
      <c r="AW1070" s="26"/>
      <c r="AX1070" s="26"/>
      <c r="AY1070" s="26"/>
    </row>
    <row r="1071" spans="2:51">
      <c r="B1071" s="390" t="s">
        <v>138</v>
      </c>
      <c r="C1071" s="370">
        <f>'2018'!$W$33*'2018'!$Z$33/100+'2018'!$W$34*'2018'!$Z$34/100+'2018'!$W$35*'2018'!$Z$35/100+'2018'!$W$36*'2018'!$Z$36/100+'2018'!$W$39*'2018'!$Z$39/100+'2018'!$W$40*'2018'!$Z$40/100+'2018'!$W$41*'2018'!$Z$41/100+'2018'!$W$42*'2018'!$Z$42/100+'2018'!$W$43*'2018'!$Z$43/100+'2018'!$W$44*'2018'!$Z$44/100+'2018'!$W$45*'2018'!$Z$45/100+'2018'!$W$46*'2018'!$Z$46/100+'2018'!$W$47*'2018'!$Z$47/100+'2018'!$W$48*'2018'!$Z$48/100+'2018'!$W$49*'2018'!$Z$49/100+'2018'!$W$50*'2018'!$Z$50/100+'2018'!$W$51*'2018'!$Z$51/100+'2018'!$W$52*'2018'!$Z$52/100+'2018'!$W$32*'2018'!$Z$32/100+'2018'!$W$53*'2018'!$Z$53/100+'2018'!$W$54*'2018'!$Z$54/100+'2018'!$W$55*'2018'!$Z$55/100+'2018'!$W$56*'2018'!$Z$56/100+'2018'!$W$57*'2018'!$Z$57/100+'2018'!$W$58*'2018'!$Z$58/100+'2018'!$W$59*'2018'!$Z$59/100+'2018'!$W$60*'2018'!$Z$60/100+'2018'!$W$61*'2018'!$Z$61/100+'2018'!$W$62*'2018'!$Z$62/100+'2018'!$W$63*'2018'!$Z$63/100+'2018'!$W$64*'2018'!$Z$64/100+'2018'!$W$65*'2018'!$Z$65/100+'2018'!$W$66*'2018'!$Z$66/100+'2018'!$W$67*'2018'!$Z$67/100+'2018'!$W$68*'2018'!$Z$68/100</f>
        <v>0</v>
      </c>
      <c r="D1071" s="370"/>
      <c r="J1071" s="16"/>
      <c r="S1071" s="26"/>
      <c r="T1071" s="26"/>
      <c r="U1071" s="26"/>
      <c r="V1071" s="26"/>
      <c r="W1071" s="26"/>
      <c r="X1071" s="26"/>
      <c r="Y1071" s="26"/>
      <c r="Z1071" s="26"/>
      <c r="AA1071" s="26"/>
      <c r="AB1071" s="26"/>
      <c r="AC1071" s="26"/>
      <c r="AD1071" s="26"/>
      <c r="AE1071" s="26"/>
      <c r="AF1071" s="26"/>
      <c r="AG1071" s="26"/>
      <c r="AH1071" s="26"/>
      <c r="AI1071" s="26"/>
      <c r="AJ1071" s="26"/>
      <c r="AK1071" s="26"/>
      <c r="AL1071" s="26"/>
      <c r="AM1071" s="26"/>
      <c r="AN1071" s="26"/>
      <c r="AO1071" s="26"/>
      <c r="AP1071" s="26"/>
      <c r="AQ1071" s="26"/>
      <c r="AR1071" s="26"/>
      <c r="AS1071" s="26"/>
      <c r="AT1071" s="26"/>
      <c r="AU1071" s="26"/>
      <c r="AV1071" s="26"/>
      <c r="AW1071" s="26"/>
      <c r="AX1071" s="26"/>
      <c r="AY1071" s="26"/>
    </row>
    <row r="1072" spans="2:51">
      <c r="B1072" s="390" t="s">
        <v>140</v>
      </c>
      <c r="C1072" s="370">
        <f>'2018'!$U$33*'2018'!$Z$33/100+'2018'!$U$34*'2018'!$Z$34/100+'2018'!$U$35*'2018'!$Z$35/100+'2018'!$U$36*'2018'!$Z$36/100+'2018'!$U$39*'2018'!$Z$39/100+'2018'!$U$40*'2018'!$Z$40/100+'2018'!$U$41*'2018'!$Z$41/100+'2018'!$U$42*'2018'!$Z$42/100+'2018'!$U$43*'2018'!$Z$43/100+'2018'!$U$44*'2018'!$Z$44/100+'2018'!$U$45*'2018'!$Z$45/100+'2018'!$U$46*'2018'!$Z$46/100+'2018'!$U$47*'2018'!$Z$47/100+'2018'!$U$48*'2018'!$Z$48/100+'2018'!$U$49*'2018'!$Z$49/100+'2018'!$U$50*'2018'!$Z$50/100+'2018'!$U$51*'2018'!$Z$51/100+'2018'!$U$52*'2018'!$Z$52/100+'2018'!$U$32*'2018'!$Z$32/100+'2018'!$U$53*'2018'!$Z$53/100+'2018'!$U$54*'2018'!$Z$54/100+'2018'!$U$55*'2018'!$Z$55/100+'2018'!$U$56*'2018'!$Z$56/100+'2018'!$U$57*'2018'!$Z$57/100+'2018'!$U$58*'2018'!$Z$58/100+'2018'!$U$59*'2018'!$Z$59/100+'2018'!$U$60*'2018'!$Z$60/100+'2018'!$U$61*'2018'!$Z$61/100+'2018'!$U$62*'2018'!$Z$62/100+'2018'!$U$63*'2018'!$Z$63/100+'2018'!$U$64*'2018'!$Z$64/100+'2018'!$U$65*'2018'!$Z$65/100+'2018'!$U$66*'2018'!$Z$66/100+'2018'!$U$67*'2018'!$Z$67/100+'2018'!$U$68*'2018'!$Z$68/100</f>
        <v>0</v>
      </c>
      <c r="D1072" s="370"/>
      <c r="J1072" s="16"/>
      <c r="S1072" s="26"/>
      <c r="T1072" s="26"/>
      <c r="U1072" s="26"/>
      <c r="V1072" s="26"/>
      <c r="W1072" s="26"/>
      <c r="X1072" s="26"/>
      <c r="Y1072" s="26"/>
      <c r="Z1072" s="26"/>
      <c r="AA1072" s="26"/>
      <c r="AB1072" s="26"/>
      <c r="AC1072" s="26"/>
      <c r="AD1072" s="26"/>
      <c r="AE1072" s="26"/>
      <c r="AF1072" s="26"/>
      <c r="AG1072" s="26"/>
      <c r="AH1072" s="26"/>
      <c r="AI1072" s="26"/>
      <c r="AJ1072" s="26"/>
      <c r="AK1072" s="26"/>
      <c r="AL1072" s="26"/>
      <c r="AM1072" s="26"/>
      <c r="AN1072" s="26"/>
      <c r="AO1072" s="26"/>
      <c r="AP1072" s="26"/>
      <c r="AQ1072" s="26"/>
      <c r="AR1072" s="26"/>
      <c r="AS1072" s="26"/>
      <c r="AT1072" s="26"/>
      <c r="AU1072" s="26"/>
      <c r="AV1072" s="26"/>
      <c r="AW1072" s="26"/>
      <c r="AX1072" s="26"/>
      <c r="AY1072" s="26"/>
    </row>
    <row r="1073" spans="2:51">
      <c r="B1073" s="390" t="s">
        <v>141</v>
      </c>
      <c r="C1073" s="370">
        <f>'2018'!$P$33*'2018'!$Z$33/100+'2018'!$P$34*'2018'!$Z$34/100+'2018'!$P$35*'2018'!$Z$35/100+'2018'!$P$36*'2018'!$Z$36/100+'2018'!$P$39*'2018'!$Z$39/100+'2018'!$P$40*'2018'!$Z$40/100+'2018'!$P$41*'2018'!$Z$41/100+'2018'!$P$42*'2018'!$Z$42/100+'2018'!$P$43*'2018'!$Z$43/100+'2018'!$P$44*'2018'!$Z$44/100+'2018'!$P$45*'2018'!$Z$45/100+'2018'!$P$46*'2018'!$Z$46/100+'2018'!$P$47*'2018'!$Z$47/100+'2018'!$P$48*'2018'!$Z$48/100+'2018'!$P$49*'2018'!$Z$49/100+'2018'!$P$50*'2018'!$Z$50/100+'2018'!$P$51*'2018'!$Z$51/100+'2018'!$P$52*'2018'!$Z$52/100+'2018'!$P$32*'2018'!$Z$32/100+'2018'!$P$53*'2018'!$Z$53/100+'2018'!$P$54*'2018'!$Z$54/100+'2018'!$P$55*'2018'!$Z$55/100+'2018'!$P$56*'2018'!$Z$56/100+'2018'!$P$57*'2018'!$Z$57/100+'2018'!$P$58*'2018'!$Z$58/100+'2018'!$P$59*'2018'!$Z$59/100+'2018'!$P$60*'2018'!$Z$60/100+'2018'!$P$61*'2018'!$Z$61/100+'2018'!$P$62*'2018'!$Z$62/100+'2018'!$P$63*'2018'!$Z$63/100+'2018'!$P$64*'2018'!$Z$64/100+'2018'!$P$65*'2018'!$Z$65/100+'2018'!$P$66*'2018'!$Z$66/100+'2018'!$P$67*'2018'!$Z$67/100+'2018'!$P$68*'2018'!$Z$68/100+'2018'!$Q$33*'2018'!$Z$33/100+'2018'!$Q$34*'2018'!$Z$34/100+'2018'!$Q$35*'2018'!$Z$35/100+'2018'!$Q$36*'2018'!$Z$36/100+'2018'!$Q$39*'2018'!$Z$39/100+'2018'!$Q$40*'2018'!$Z$40/100+'2018'!$Q$41*'2018'!$Z$41/100+'2018'!$Q$42*'2018'!$Z$42/100+'2018'!$Q$43*'2018'!$Z$43/100+'2018'!$Q$44*'2018'!$Z$44/100+'2018'!$Q$45*'2018'!$Z$45/100+'2018'!$Q$46*'2018'!$Z$46/100+'2018'!$Q$47*'2018'!$Z$47/100+'2018'!$Q$48*'2018'!$Z$48/100+'2018'!$Q$49*'2018'!$Z$49/100+'2018'!$Q$50*'2018'!$Z$50/100+'2018'!$Q$51*'2018'!$Z$51/100+'2018'!$Q$52*'2018'!$Z$52/100+'2018'!$Q$32*'2018'!$Z$32/100+'2018'!$Q$53*'2018'!$Z$53/100+'2018'!$Q$54*'2018'!$Z$54/100+'2018'!$Q$55*'2018'!$Z$55/100+'2018'!$Q$56*'2018'!$Z$56/100+'2018'!$Q$57*'2018'!$Z$57/100+'2018'!$Q$58*'2018'!$Z$58/100+'2018'!$Q$59*'2018'!$Z$59/100+'2018'!$Q$60*'2018'!$Z$60/100+'2018'!$Q$61*'2018'!$Z$61/100+'2018'!$Q$62*'2018'!$Z$62/100+'2018'!$Q$63*'2018'!$Z$63/100+'2018'!$Q$64*'2018'!$Z$64/100+'2018'!$Q$65*'2018'!$Z$65/100+'2018'!$Q$66*'2018'!$Z$66/100+'2018'!$Q$67*'2018'!$Z$67/100+'2018'!$Q$68*'2018'!$Z$68/100+'2018'!$R$33*'2018'!$Z$33/100+'2018'!$R$34*'2018'!$Z$34/100+'2018'!$R$35*'2018'!$Z$35/100+'2018'!$R$36*'2018'!$Z$36/100+'2018'!$R$39*'2018'!$Z$39/100+'2018'!$R$40*'2018'!$Z$40/100+'2018'!$R$41*'2018'!$Z$41/100+'2018'!$R$42*'2018'!$Z$42/100+'2018'!$R$43*'2018'!$Z$43/100+'2018'!$R$44*'2018'!$Z$44/100+'2018'!$R$45*'2018'!$Z$45/100+'2018'!$R$46*'2018'!$Z$46/100+'2018'!$R$47*'2018'!$Z$47/100+'2018'!$R$48*'2018'!$Z$48/100+'2018'!$R$49*'2018'!$Z$49/100+'2018'!$R$50*'2018'!$Z$50/100+'2018'!$R$51*'2018'!$Z$51/100+'2018'!$R$52*'2018'!$Z$52/100+'2018'!$R$32*'2018'!$Z$32/100+'2018'!$R$53*'2018'!$Z$53/100+'2018'!$R$54*'2018'!$Z$54/100+'2018'!$R$55*'2018'!$Z$55/100+'2018'!$R$56*'2018'!$Z$56/100+'2018'!$R$57*'2018'!$Z$57/100+'2018'!$R$58*'2018'!$Z$58/100+'2018'!$R$59*'2018'!$Z$59/100+'2018'!$R$60*'2018'!$Z$60/100+'2018'!$R$61*'2018'!$Z$61/100+'2018'!$R$62*'2018'!$Z$62/100+'2018'!$R$63*'2018'!$Z$63/100+'2018'!$R$64*'2018'!$Z$64/100+'2018'!$R$65*'2018'!$Z$65/100+'2018'!$R$66*'2018'!$Z$66/100+'2018'!$R$67*'2018'!$Z$67/100+'2018'!$R$68*'2018'!$Z$68/100+'2018'!$S$33*'2018'!$Z$33/100+'2018'!$S$34*'2018'!$Z$34/100+'2018'!$S$35*'2018'!$Z$35/100+'2018'!$S$36*'2018'!$Z$36/100+'2018'!$S$39*'2018'!$Z$39/100+'2018'!$S$40*'2018'!$Z$40/100+'2018'!$S$41*'2018'!$Z$41/100+'2018'!$S$42*'2018'!$Z$42/100+'2018'!$S$43*'2018'!$Z$43/100+'2018'!$S$44*'2018'!$Z$44/100+'2018'!$S$45*'2018'!$Z$45/100+'2018'!$S$46*'2018'!$Z$46/100+'2018'!$S$47*'2018'!$Z$47/100+'2018'!$S$48*'2018'!$Z$48/100+'2018'!$S$49*'2018'!$Z$49/100+'2018'!$S$50*'2018'!$Z$50/100+'2018'!$S$51*'2018'!$Z$51/100+'2018'!$S$52*'2018'!$Z$52/100+'2018'!$S$32*'2018'!$Z$32/100+'2018'!$S$53*'2018'!$Z$53/100+'2018'!$S$54*'2018'!$Z$54/100+'2018'!$S$55*'2018'!$Z$55/100+'2018'!$S$56*'2018'!$Z$56/100+'2018'!$S$57*'2018'!$Z$57/100+'2018'!$S$58*'2018'!$Z$58/100+'2018'!$S$59*'2018'!$Z$59/100+'2018'!$S$60*'2018'!$Z$60/100+'2018'!$S$61*'2018'!$Z$61/100+'2018'!$S$62*'2018'!$Z$62/100+'2018'!$S$63*'2018'!$Z$63/100+'2018'!$S$64*'2018'!$Z$64/100+'2018'!$S$65*'2018'!$Z$65/100+'2018'!$S$66*'2018'!$Z$66/100+'2018'!$S$67*'2018'!$Z$67/100+'2018'!$S$68*'2018'!$Z$68/100</f>
        <v>488.45160000000004</v>
      </c>
      <c r="D1073" s="370"/>
      <c r="J1073" s="16"/>
      <c r="S1073" s="26"/>
      <c r="T1073" s="26"/>
      <c r="U1073" s="26"/>
      <c r="V1073" s="26"/>
      <c r="W1073" s="26"/>
      <c r="X1073" s="26"/>
      <c r="Y1073" s="26"/>
      <c r="Z1073" s="26"/>
      <c r="AA1073" s="26"/>
      <c r="AB1073" s="26"/>
      <c r="AC1073" s="26"/>
      <c r="AD1073" s="26"/>
      <c r="AE1073" s="26"/>
      <c r="AF1073" s="26"/>
      <c r="AG1073" s="26"/>
      <c r="AH1073" s="26"/>
      <c r="AI1073" s="26"/>
      <c r="AJ1073" s="26"/>
      <c r="AK1073" s="26"/>
      <c r="AL1073" s="26"/>
      <c r="AM1073" s="26"/>
      <c r="AN1073" s="26"/>
      <c r="AO1073" s="26"/>
      <c r="AP1073" s="26"/>
      <c r="AQ1073" s="26"/>
      <c r="AR1073" s="26"/>
      <c r="AS1073" s="26"/>
      <c r="AT1073" s="26"/>
      <c r="AU1073" s="26"/>
      <c r="AV1073" s="26"/>
      <c r="AW1073" s="26"/>
      <c r="AX1073" s="26"/>
      <c r="AY1073" s="26"/>
    </row>
    <row r="1074" spans="2:51">
      <c r="B1074" s="390" t="s">
        <v>142</v>
      </c>
      <c r="C1074" s="370">
        <f>SUM('2018'!$J$27:$J$28)</f>
        <v>1209.5999999999999</v>
      </c>
      <c r="D1074" s="370"/>
      <c r="J1074" s="16"/>
      <c r="S1074" s="26"/>
      <c r="T1074" s="26"/>
      <c r="U1074" s="26"/>
      <c r="V1074" s="26"/>
      <c r="W1074" s="26"/>
      <c r="X1074" s="26"/>
      <c r="Y1074" s="26"/>
      <c r="Z1074" s="26"/>
      <c r="AA1074" s="26"/>
      <c r="AB1074" s="26"/>
      <c r="AC1074" s="26"/>
      <c r="AD1074" s="26"/>
      <c r="AE1074" s="26"/>
      <c r="AF1074" s="26"/>
      <c r="AG1074" s="26"/>
      <c r="AH1074" s="26"/>
      <c r="AI1074" s="26"/>
      <c r="AJ1074" s="26"/>
      <c r="AK1074" s="26"/>
      <c r="AL1074" s="26"/>
      <c r="AM1074" s="26"/>
      <c r="AN1074" s="26"/>
      <c r="AO1074" s="26"/>
      <c r="AP1074" s="26"/>
      <c r="AQ1074" s="26"/>
      <c r="AR1074" s="26"/>
      <c r="AS1074" s="26"/>
      <c r="AT1074" s="26"/>
      <c r="AU1074" s="26"/>
      <c r="AV1074" s="26"/>
      <c r="AW1074" s="26"/>
      <c r="AX1074" s="26"/>
      <c r="AY1074" s="26"/>
    </row>
    <row r="1075" spans="2:51">
      <c r="B1075" s="390" t="s">
        <v>143</v>
      </c>
      <c r="C1075" s="370">
        <f>'2018'!$O$33*'2018'!$Z$33/100+'2018'!$O$34*'2018'!$Z$34/100+'2018'!$O$35*'2018'!$Z$35/100+'2018'!$O$36*'2018'!$Z$36/100+'2018'!$O$39*'2018'!$Z$39/100+'2018'!$O$40*'2018'!$Z$40/100+'2018'!$O$41*'2018'!$Z$41/100+'2018'!$O$42*'2018'!$Z$42/100+'2018'!$O$43*'2018'!$Z$43/100+'2018'!$O$44*'2018'!$Z$44/100+'2018'!$O$45*'2018'!$Z$45/100+'2018'!$O$46*'2018'!$Z$46/100+'2018'!$O$47*'2018'!$Z$47/100+'2018'!$O$48*'2018'!$Z$48/100+'2018'!$O$49*'2018'!$Z$49/100+'2018'!$O$50*'2018'!$Z$50/100+'2018'!$O$51*'2018'!$Z$51/100+'2018'!$O$52*'2018'!$Z$52/100+'2018'!$O$32*'2018'!$Z$32/100+'2018'!$O$53*'2018'!$Z$53/100+'2018'!$O$54*'2018'!$Z$54/100+'2018'!$O$55*'2018'!$Z$55/100+'2018'!$O$56*'2018'!$Z$56/100+'2018'!$O$57*'2018'!$Z$57/100+'2018'!$O$58*'2018'!$Z$58/100+'2018'!$O$59*'2018'!$Z$59/100+'2018'!$O$60*'2018'!$Z$60/100+'2018'!$O$61*'2018'!$Z$61/100+'2018'!$O$62*'2018'!$Z$62/100+'2018'!$O$63*'2018'!$Z$63/100+'2018'!$O$64*'2018'!$Z$64/100+'2018'!$O$65*'2018'!$Z$65/100+'2018'!$O$66*'2018'!$Z$66/100+'2018'!$O$67*'2018'!$Z$67/100+'2018'!$O$68*'2018'!$Z$68/100+'2018'!$T$33*'2018'!$Z$33/100+'2018'!$T$34*'2018'!$Z$34/100+'2018'!$T$35*'2018'!$Z$35/100+'2018'!$T$36*'2018'!$Z$36/100+'2018'!$T$39*'2018'!$Z$39/100+'2018'!$T$40*'2018'!$Z$40/100+'2018'!$T$41*'2018'!$Z$41/100+'2018'!$T$42*'2018'!$Z$42/100+'2018'!$T$43*'2018'!$Z$43/100+'2018'!$T$44*'2018'!$Z$44/100+'2018'!$T$45*'2018'!$Z$45/100+'2018'!$T$46*'2018'!$Z$46/100+'2018'!$T$47*'2018'!$Z$47/100+'2018'!$T$48*'2018'!$Z$48/100+'2018'!$T$49*'2018'!$Z$49/100+'2018'!$T$50*'2018'!$Z$50/100+'2018'!$T$51*'2018'!$Z$51/100+'2018'!$T$52*'2018'!$Z$52/100+'2018'!$T$32*'2018'!$Z$32/100+'2018'!$T$53*'2018'!$Z$53/100+'2018'!$T$54*'2018'!$Z$54/100+'2018'!$T$55*'2018'!$Z$55/100+'2018'!$T$56*'2018'!$Z$56/100+'2018'!$T$57*'2018'!$Z$57/100+'2018'!$T$58*'2018'!$Z$58/100+'2018'!$T$59*'2018'!$Z$59/100+'2018'!$T$60*'2018'!$Z$60/100+'2018'!$T$61*'2018'!$Z$61/100+'2018'!$T$62*'2018'!$Z$62/100+'2018'!$T$63*'2018'!$Z$63/100+'2018'!$T$64*'2018'!$Z$64/100+'2018'!$T$65*'2018'!$Z$65/100+'2018'!$T$66*'2018'!$Z$66/100+'2018'!$T$67*'2018'!$Z$67/100+'2018'!$T$68*'2018'!$Z$68/100+'2018'!$V$33*'2018'!$Z$33/100+'2018'!$V$34*'2018'!$Z$34/100+'2018'!$V$35*'2018'!$Z$35/100+'2018'!$V$36*'2018'!$Z$36/100+'2018'!$V$39*'2018'!$Z$39/100+'2018'!$V$40*'2018'!$Z$40/100+'2018'!$V$41*'2018'!$Z$41/100+'2018'!$V$42*'2018'!$Z$42/100+'2018'!$V$43*'2018'!$Z$43/100+'2018'!$V$44*'2018'!$Z$44/100+'2018'!$V$45*'2018'!$Z$45/100+'2018'!$V$46*'2018'!$Z$46/100+'2018'!$V$47*'2018'!$Z$47/100+'2018'!$V$48*'2018'!$Z$48/100+'2018'!$V$49*'2018'!$Z$49/100+'2018'!$V$50*'2018'!$Z$50/100+'2018'!$V$51*'2018'!$Z$51/100+'2018'!$V$52*'2018'!$Z$52/100+'2018'!$V$32*'2018'!$Z$32/100+'2018'!$V$53*'2018'!$Z$53/100+'2018'!$V$54*'2018'!$Z$54/100+'2018'!$V$55*'2018'!$Z$55/100+'2018'!$V$56*'2018'!$Z$56/100+'2018'!$V$57*'2018'!$Z$57/100+'2018'!$V$58*'2018'!$Z$58/100+'2018'!$V$59*'2018'!$Z$59/100+'2018'!$V$60*'2018'!$Z$60/100+'2018'!$V$61*'2018'!$Z$61/100+'2018'!$V$62*'2018'!$Z$62/100+'2018'!$V$63*'2018'!$Z$63/100+'2018'!$V$64*'2018'!$Z$64/100+'2018'!$V$65*'2018'!$Z$65/100+'2018'!$V$66*'2018'!$Z$66/100+'2018'!$V$67*'2018'!$Z$67/100+'2018'!$V$68*'2018'!$Z$68/100</f>
        <v>8.2578999999999994</v>
      </c>
      <c r="D1075" s="370"/>
      <c r="J1075" s="16"/>
      <c r="S1075" s="26"/>
      <c r="T1075" s="26"/>
      <c r="U1075" s="26"/>
      <c r="V1075" s="26"/>
      <c r="W1075" s="26"/>
      <c r="X1075" s="26"/>
      <c r="Y1075" s="26"/>
      <c r="Z1075" s="26"/>
      <c r="AA1075" s="26"/>
      <c r="AB1075" s="26"/>
      <c r="AC1075" s="26"/>
      <c r="AD1075" s="26"/>
      <c r="AE1075" s="26"/>
      <c r="AF1075" s="26"/>
      <c r="AG1075" s="26"/>
      <c r="AH1075" s="26"/>
      <c r="AI1075" s="26"/>
      <c r="AJ1075" s="26"/>
      <c r="AK1075" s="26"/>
      <c r="AL1075" s="26"/>
      <c r="AM1075" s="26"/>
      <c r="AN1075" s="26"/>
      <c r="AO1075" s="26"/>
      <c r="AP1075" s="26"/>
      <c r="AQ1075" s="26"/>
      <c r="AR1075" s="26"/>
      <c r="AS1075" s="26"/>
      <c r="AT1075" s="26"/>
      <c r="AU1075" s="26"/>
      <c r="AV1075" s="26"/>
      <c r="AW1075" s="26"/>
      <c r="AX1075" s="26"/>
      <c r="AY1075" s="26"/>
    </row>
    <row r="1076" spans="2:51">
      <c r="B1076" s="390" t="s">
        <v>144</v>
      </c>
      <c r="C1076" s="370">
        <f>'2018'!$L$26*'2018'!$Z$26/100</f>
        <v>42</v>
      </c>
      <c r="D1076" s="370"/>
      <c r="J1076" s="16"/>
      <c r="S1076" s="26"/>
      <c r="T1076" s="26"/>
      <c r="U1076" s="26"/>
      <c r="V1076" s="26"/>
      <c r="W1076" s="26"/>
      <c r="X1076" s="26"/>
      <c r="Y1076" s="26"/>
      <c r="Z1076" s="26"/>
      <c r="AA1076" s="26"/>
      <c r="AB1076" s="26"/>
      <c r="AC1076" s="26"/>
      <c r="AD1076" s="26"/>
      <c r="AE1076" s="26"/>
      <c r="AF1076" s="26"/>
      <c r="AG1076" s="26"/>
      <c r="AH1076" s="26"/>
      <c r="AI1076" s="26"/>
      <c r="AJ1076" s="26"/>
      <c r="AK1076" s="26"/>
      <c r="AL1076" s="26"/>
      <c r="AM1076" s="26"/>
      <c r="AN1076" s="26"/>
      <c r="AO1076" s="26"/>
      <c r="AP1076" s="26"/>
      <c r="AQ1076" s="26"/>
      <c r="AR1076" s="26"/>
      <c r="AS1076" s="26"/>
      <c r="AT1076" s="26"/>
      <c r="AU1076" s="26"/>
      <c r="AV1076" s="26"/>
      <c r="AW1076" s="26"/>
      <c r="AX1076" s="26"/>
      <c r="AY1076" s="26"/>
    </row>
    <row r="1077" spans="2:51">
      <c r="B1077" s="390" t="s">
        <v>200</v>
      </c>
      <c r="C1077" s="370">
        <f>'2018'!$K$29</f>
        <v>0</v>
      </c>
      <c r="D1077" s="370"/>
      <c r="J1077" s="16"/>
      <c r="S1077" s="26"/>
      <c r="T1077" s="26"/>
      <c r="U1077" s="26"/>
      <c r="V1077" s="26"/>
      <c r="W1077" s="26"/>
      <c r="X1077" s="26"/>
      <c r="Y1077" s="26"/>
      <c r="Z1077" s="26"/>
      <c r="AA1077" s="26"/>
      <c r="AB1077" s="26"/>
      <c r="AC1077" s="26"/>
      <c r="AD1077" s="26"/>
      <c r="AE1077" s="26"/>
      <c r="AF1077" s="26"/>
      <c r="AG1077" s="26"/>
      <c r="AH1077" s="26"/>
      <c r="AI1077" s="26"/>
      <c r="AJ1077" s="26"/>
      <c r="AK1077" s="26"/>
      <c r="AL1077" s="26"/>
      <c r="AM1077" s="26"/>
      <c r="AN1077" s="26"/>
      <c r="AO1077" s="26"/>
      <c r="AP1077" s="26"/>
      <c r="AQ1077" s="26"/>
      <c r="AR1077" s="26"/>
      <c r="AS1077" s="26"/>
      <c r="AT1077" s="26"/>
      <c r="AU1077" s="26"/>
      <c r="AV1077" s="26"/>
      <c r="AW1077" s="26"/>
      <c r="AX1077" s="26"/>
      <c r="AY1077" s="26"/>
    </row>
    <row r="1078" spans="2:51">
      <c r="B1078" s="390" t="s">
        <v>34</v>
      </c>
      <c r="C1078" s="370">
        <f>'2018'!$AD$15</f>
        <v>-130.94872402022855</v>
      </c>
      <c r="D1078" s="370"/>
      <c r="J1078" s="16"/>
      <c r="S1078" s="26"/>
      <c r="T1078" s="26"/>
      <c r="U1078" s="26"/>
      <c r="V1078" s="26"/>
      <c r="W1078" s="26"/>
      <c r="X1078" s="26"/>
      <c r="Y1078" s="26"/>
      <c r="Z1078" s="26"/>
      <c r="AA1078" s="26"/>
      <c r="AB1078" s="26"/>
      <c r="AC1078" s="26"/>
      <c r="AD1078" s="26"/>
      <c r="AE1078" s="26"/>
      <c r="AF1078" s="26"/>
      <c r="AG1078" s="26"/>
      <c r="AH1078" s="26"/>
      <c r="AI1078" s="26"/>
      <c r="AJ1078" s="26"/>
      <c r="AK1078" s="26"/>
      <c r="AL1078" s="26"/>
      <c r="AM1078" s="26"/>
      <c r="AN1078" s="26"/>
      <c r="AO1078" s="26"/>
      <c r="AP1078" s="26"/>
      <c r="AQ1078" s="26"/>
      <c r="AR1078" s="26"/>
      <c r="AS1078" s="26"/>
      <c r="AT1078" s="26"/>
      <c r="AU1078" s="26"/>
      <c r="AV1078" s="26"/>
      <c r="AW1078" s="26"/>
      <c r="AX1078" s="26"/>
      <c r="AY1078" s="26"/>
    </row>
    <row r="1079" spans="2:51">
      <c r="B1079" s="55" t="s">
        <v>147</v>
      </c>
      <c r="C1079" s="56">
        <f>SUM(C1063:C1078)</f>
        <v>1658.9091759797714</v>
      </c>
      <c r="D1079" s="56">
        <f>SUM(D1063:D1078)</f>
        <v>1658.9091759797716</v>
      </c>
      <c r="J1079" s="16"/>
      <c r="S1079" s="26"/>
      <c r="T1079" s="26"/>
      <c r="U1079" s="26"/>
      <c r="V1079" s="26"/>
      <c r="W1079" s="26"/>
      <c r="X1079" s="26"/>
      <c r="Y1079" s="26"/>
      <c r="Z1079" s="26"/>
      <c r="AA1079" s="26"/>
      <c r="AB1079" s="26"/>
      <c r="AC1079" s="26"/>
      <c r="AD1079" s="26"/>
      <c r="AE1079" s="26"/>
      <c r="AF1079" s="26"/>
      <c r="AG1079" s="26"/>
      <c r="AH1079" s="26"/>
      <c r="AI1079" s="26"/>
      <c r="AJ1079" s="26"/>
      <c r="AK1079" s="26"/>
      <c r="AL1079" s="26"/>
      <c r="AM1079" s="26"/>
      <c r="AN1079" s="26"/>
      <c r="AO1079" s="26"/>
      <c r="AP1079" s="26"/>
      <c r="AQ1079" s="26"/>
      <c r="AR1079" s="26"/>
      <c r="AS1079" s="26"/>
      <c r="AT1079" s="26"/>
      <c r="AU1079" s="26"/>
      <c r="AV1079" s="26"/>
      <c r="AW1079" s="26"/>
      <c r="AX1079" s="26"/>
      <c r="AY1079" s="26"/>
    </row>
    <row r="1080" spans="2:51">
      <c r="B1080" s="31"/>
      <c r="J1080" s="16"/>
      <c r="S1080" s="26"/>
      <c r="T1080" s="26"/>
      <c r="U1080" s="26"/>
      <c r="V1080" s="26"/>
      <c r="W1080" s="26"/>
      <c r="X1080" s="26"/>
      <c r="Y1080" s="26"/>
      <c r="Z1080" s="26"/>
      <c r="AA1080" s="26"/>
      <c r="AB1080" s="26"/>
      <c r="AC1080" s="26"/>
      <c r="AD1080" s="26"/>
      <c r="AE1080" s="26"/>
      <c r="AF1080" s="26"/>
      <c r="AG1080" s="26"/>
      <c r="AH1080" s="26"/>
      <c r="AI1080" s="26"/>
      <c r="AJ1080" s="26"/>
      <c r="AK1080" s="26"/>
      <c r="AL1080" s="26"/>
      <c r="AM1080" s="26"/>
      <c r="AN1080" s="26"/>
      <c r="AO1080" s="26"/>
      <c r="AP1080" s="26"/>
      <c r="AQ1080" s="26"/>
      <c r="AR1080" s="26"/>
      <c r="AS1080" s="26"/>
      <c r="AT1080" s="26"/>
      <c r="AU1080" s="26"/>
      <c r="AV1080" s="26"/>
      <c r="AW1080" s="26"/>
      <c r="AX1080" s="26"/>
      <c r="AY1080" s="26"/>
    </row>
    <row r="1081" spans="2:51">
      <c r="B1081" s="31"/>
      <c r="C1081" s="50"/>
      <c r="D1081" s="50"/>
      <c r="J1081" s="16"/>
      <c r="S1081" s="26"/>
      <c r="T1081" s="26"/>
      <c r="U1081" s="26"/>
      <c r="V1081" s="26"/>
      <c r="W1081" s="26"/>
      <c r="X1081" s="26"/>
      <c r="Y1081" s="26"/>
      <c r="Z1081" s="26"/>
      <c r="AA1081" s="26"/>
      <c r="AB1081" s="26"/>
      <c r="AC1081" s="26"/>
      <c r="AD1081" s="26"/>
      <c r="AE1081" s="26"/>
      <c r="AF1081" s="26"/>
      <c r="AG1081" s="26"/>
      <c r="AH1081" s="26"/>
      <c r="AI1081" s="26"/>
      <c r="AJ1081" s="26"/>
      <c r="AK1081" s="26"/>
      <c r="AL1081" s="26"/>
      <c r="AM1081" s="26"/>
      <c r="AN1081" s="26"/>
      <c r="AO1081" s="26"/>
      <c r="AP1081" s="26"/>
      <c r="AQ1081" s="26"/>
      <c r="AR1081" s="26"/>
      <c r="AS1081" s="26"/>
      <c r="AT1081" s="26"/>
      <c r="AU1081" s="26"/>
      <c r="AV1081" s="26"/>
      <c r="AW1081" s="26"/>
      <c r="AX1081" s="26"/>
      <c r="AY1081" s="26"/>
    </row>
    <row r="1082" spans="2:51">
      <c r="B1082" s="59" t="s">
        <v>226</v>
      </c>
      <c r="C1082" s="50"/>
      <c r="D1082" s="50"/>
      <c r="J1082" s="16"/>
      <c r="S1082" s="26"/>
      <c r="T1082" s="26"/>
      <c r="U1082" s="26"/>
      <c r="V1082" s="26"/>
      <c r="W1082" s="26"/>
      <c r="X1082" s="26"/>
      <c r="Y1082" s="26"/>
      <c r="Z1082" s="26"/>
      <c r="AA1082" s="26"/>
      <c r="AB1082" s="26"/>
      <c r="AC1082" s="26"/>
      <c r="AD1082" s="26"/>
      <c r="AE1082" s="26"/>
      <c r="AF1082" s="26"/>
      <c r="AG1082" s="26"/>
      <c r="AH1082" s="26"/>
      <c r="AI1082" s="26"/>
      <c r="AJ1082" s="26"/>
      <c r="AK1082" s="26"/>
      <c r="AL1082" s="26"/>
      <c r="AM1082" s="26"/>
      <c r="AN1082" s="26"/>
      <c r="AO1082" s="26"/>
      <c r="AP1082" s="26"/>
      <c r="AQ1082" s="26"/>
      <c r="AR1082" s="26"/>
      <c r="AS1082" s="26"/>
      <c r="AT1082" s="26"/>
      <c r="AU1082" s="26"/>
      <c r="AV1082" s="26"/>
      <c r="AW1082" s="26"/>
      <c r="AX1082" s="26"/>
      <c r="AY1082" s="26"/>
    </row>
    <row r="1083" spans="2:51">
      <c r="B1083" s="31"/>
      <c r="C1083" s="50"/>
      <c r="D1083" s="50"/>
      <c r="J1083" s="16"/>
      <c r="S1083" s="26"/>
      <c r="T1083" s="26"/>
      <c r="U1083" s="26"/>
      <c r="V1083" s="26"/>
      <c r="W1083" s="26"/>
      <c r="X1083" s="26"/>
      <c r="Y1083" s="26"/>
      <c r="Z1083" s="26"/>
      <c r="AA1083" s="26"/>
      <c r="AB1083" s="26"/>
      <c r="AC1083" s="26"/>
      <c r="AD1083" s="26"/>
      <c r="AE1083" s="26"/>
      <c r="AF1083" s="26"/>
      <c r="AG1083" s="26"/>
      <c r="AH1083" s="26"/>
      <c r="AI1083" s="26"/>
      <c r="AJ1083" s="26"/>
      <c r="AK1083" s="26"/>
      <c r="AL1083" s="26"/>
      <c r="AM1083" s="26"/>
      <c r="AN1083" s="26"/>
      <c r="AO1083" s="26"/>
      <c r="AP1083" s="26"/>
      <c r="AQ1083" s="26"/>
      <c r="AR1083" s="26"/>
      <c r="AS1083" s="26"/>
      <c r="AT1083" s="26"/>
      <c r="AU1083" s="26"/>
      <c r="AV1083" s="26"/>
      <c r="AW1083" s="26"/>
      <c r="AX1083" s="26"/>
      <c r="AY1083" s="26"/>
    </row>
    <row r="1084" spans="2:51">
      <c r="B1084" s="31"/>
      <c r="C1084" s="50"/>
      <c r="D1084" s="50"/>
      <c r="J1084" s="16"/>
      <c r="S1084" s="26"/>
      <c r="T1084" s="26"/>
      <c r="U1084" s="26"/>
      <c r="V1084" s="26"/>
      <c r="W1084" s="26"/>
      <c r="X1084" s="26"/>
      <c r="Y1084" s="26"/>
      <c r="Z1084" s="26"/>
      <c r="AA1084" s="26"/>
      <c r="AB1084" s="26"/>
      <c r="AC1084" s="26"/>
      <c r="AD1084" s="26"/>
      <c r="AE1084" s="26"/>
      <c r="AF1084" s="26"/>
      <c r="AG1084" s="26"/>
      <c r="AH1084" s="26"/>
      <c r="AI1084" s="26"/>
      <c r="AJ1084" s="26"/>
      <c r="AK1084" s="26"/>
      <c r="AL1084" s="26"/>
      <c r="AM1084" s="26"/>
      <c r="AN1084" s="26"/>
      <c r="AO1084" s="26"/>
      <c r="AP1084" s="26"/>
      <c r="AQ1084" s="26"/>
      <c r="AR1084" s="26"/>
      <c r="AS1084" s="26"/>
      <c r="AT1084" s="26"/>
      <c r="AU1084" s="26"/>
      <c r="AV1084" s="26"/>
      <c r="AW1084" s="26"/>
      <c r="AX1084" s="26"/>
      <c r="AY1084" s="26"/>
    </row>
    <row r="1085" spans="2:51">
      <c r="B1085" s="31"/>
      <c r="C1085" s="50"/>
      <c r="D1085" s="50"/>
      <c r="J1085" s="16"/>
      <c r="S1085" s="26"/>
      <c r="T1085" s="26"/>
      <c r="U1085" s="26"/>
      <c r="V1085" s="26"/>
      <c r="W1085" s="26"/>
      <c r="X1085" s="26"/>
      <c r="Y1085" s="26"/>
      <c r="Z1085" s="26"/>
      <c r="AA1085" s="26"/>
      <c r="AB1085" s="26"/>
      <c r="AC1085" s="26"/>
      <c r="AD1085" s="26"/>
      <c r="AE1085" s="26"/>
      <c r="AF1085" s="26"/>
      <c r="AG1085" s="26"/>
      <c r="AH1085" s="26"/>
      <c r="AI1085" s="26"/>
      <c r="AJ1085" s="26"/>
      <c r="AK1085" s="26"/>
      <c r="AL1085" s="26"/>
      <c r="AM1085" s="26"/>
      <c r="AN1085" s="26"/>
      <c r="AO1085" s="26"/>
      <c r="AP1085" s="26"/>
      <c r="AQ1085" s="26"/>
      <c r="AR1085" s="26"/>
      <c r="AS1085" s="26"/>
      <c r="AT1085" s="26"/>
      <c r="AU1085" s="26"/>
      <c r="AV1085" s="26"/>
      <c r="AW1085" s="26"/>
      <c r="AX1085" s="26"/>
      <c r="AY1085" s="26"/>
    </row>
    <row r="1086" spans="2:51">
      <c r="B1086" s="31"/>
      <c r="C1086" s="50"/>
      <c r="D1086" s="50"/>
      <c r="J1086" s="16"/>
      <c r="S1086" s="26"/>
      <c r="T1086" s="26"/>
      <c r="U1086" s="26"/>
      <c r="V1086" s="26"/>
      <c r="W1086" s="26"/>
      <c r="X1086" s="26"/>
      <c r="Y1086" s="26"/>
      <c r="Z1086" s="26"/>
      <c r="AA1086" s="26"/>
      <c r="AB1086" s="26"/>
      <c r="AC1086" s="26"/>
      <c r="AD1086" s="26"/>
      <c r="AE1086" s="26"/>
      <c r="AF1086" s="26"/>
      <c r="AG1086" s="26"/>
      <c r="AH1086" s="26"/>
      <c r="AI1086" s="26"/>
      <c r="AJ1086" s="26"/>
      <c r="AK1086" s="26"/>
      <c r="AL1086" s="26"/>
      <c r="AM1086" s="26"/>
      <c r="AN1086" s="26"/>
      <c r="AO1086" s="26"/>
      <c r="AP1086" s="26"/>
      <c r="AQ1086" s="26"/>
      <c r="AR1086" s="26"/>
      <c r="AS1086" s="26"/>
      <c r="AT1086" s="26"/>
      <c r="AU1086" s="26"/>
      <c r="AV1086" s="26"/>
      <c r="AW1086" s="26"/>
      <c r="AX1086" s="26"/>
      <c r="AY1086" s="26"/>
    </row>
    <row r="1087" spans="2:51">
      <c r="B1087" s="31"/>
      <c r="C1087" s="50"/>
      <c r="D1087" s="50"/>
      <c r="J1087" s="16"/>
      <c r="S1087" s="26"/>
      <c r="T1087" s="26"/>
      <c r="U1087" s="26"/>
      <c r="V1087" s="26"/>
      <c r="W1087" s="26"/>
      <c r="X1087" s="26"/>
      <c r="Y1087" s="26"/>
      <c r="Z1087" s="26"/>
      <c r="AA1087" s="26"/>
      <c r="AB1087" s="26"/>
      <c r="AC1087" s="26"/>
      <c r="AD1087" s="26"/>
      <c r="AE1087" s="26"/>
      <c r="AF1087" s="26"/>
      <c r="AG1087" s="26"/>
      <c r="AH1087" s="26"/>
      <c r="AI1087" s="26"/>
      <c r="AJ1087" s="26"/>
      <c r="AK1087" s="26"/>
      <c r="AL1087" s="26"/>
      <c r="AM1087" s="26"/>
      <c r="AN1087" s="26"/>
      <c r="AO1087" s="26"/>
      <c r="AP1087" s="26"/>
      <c r="AQ1087" s="26"/>
      <c r="AR1087" s="26"/>
      <c r="AS1087" s="26"/>
      <c r="AT1087" s="26"/>
      <c r="AU1087" s="26"/>
      <c r="AV1087" s="26"/>
      <c r="AW1087" s="26"/>
      <c r="AX1087" s="26"/>
      <c r="AY1087" s="26"/>
    </row>
    <row r="1088" spans="2:51">
      <c r="B1088" s="31"/>
      <c r="C1088" s="50"/>
      <c r="D1088" s="50"/>
      <c r="J1088" s="16"/>
      <c r="S1088" s="26"/>
      <c r="T1088" s="26"/>
      <c r="U1088" s="26"/>
      <c r="V1088" s="26"/>
      <c r="W1088" s="26"/>
      <c r="X1088" s="26"/>
      <c r="Y1088" s="26"/>
      <c r="Z1088" s="26"/>
      <c r="AA1088" s="26"/>
      <c r="AB1088" s="26"/>
      <c r="AC1088" s="26"/>
      <c r="AD1088" s="26"/>
      <c r="AE1088" s="26"/>
      <c r="AF1088" s="26"/>
      <c r="AG1088" s="26"/>
      <c r="AH1088" s="26"/>
      <c r="AI1088" s="26"/>
      <c r="AJ1088" s="26"/>
      <c r="AK1088" s="26"/>
      <c r="AL1088" s="26"/>
      <c r="AM1088" s="26"/>
      <c r="AN1088" s="26"/>
      <c r="AO1088" s="26"/>
      <c r="AP1088" s="26"/>
      <c r="AQ1088" s="26"/>
      <c r="AR1088" s="26"/>
      <c r="AS1088" s="26"/>
      <c r="AT1088" s="26"/>
      <c r="AU1088" s="26"/>
      <c r="AV1088" s="26"/>
      <c r="AW1088" s="26"/>
      <c r="AX1088" s="26"/>
      <c r="AY1088" s="26"/>
    </row>
    <row r="1089" spans="2:51">
      <c r="B1089" s="31"/>
      <c r="C1089" s="50"/>
      <c r="D1089" s="50"/>
      <c r="J1089" s="16"/>
      <c r="S1089" s="26"/>
      <c r="T1089" s="26"/>
      <c r="U1089" s="26"/>
      <c r="V1089" s="26"/>
      <c r="W1089" s="26"/>
      <c r="X1089" s="26"/>
      <c r="Y1089" s="26"/>
      <c r="Z1089" s="26"/>
      <c r="AA1089" s="26"/>
      <c r="AB1089" s="26"/>
      <c r="AC1089" s="26"/>
      <c r="AD1089" s="26"/>
      <c r="AE1089" s="26"/>
      <c r="AF1089" s="26"/>
      <c r="AG1089" s="26"/>
      <c r="AH1089" s="26"/>
      <c r="AI1089" s="26"/>
      <c r="AJ1089" s="26"/>
      <c r="AK1089" s="26"/>
      <c r="AL1089" s="26"/>
      <c r="AM1089" s="26"/>
      <c r="AN1089" s="26"/>
      <c r="AO1089" s="26"/>
      <c r="AP1089" s="26"/>
      <c r="AQ1089" s="26"/>
      <c r="AR1089" s="26"/>
      <c r="AS1089" s="26"/>
      <c r="AT1089" s="26"/>
      <c r="AU1089" s="26"/>
      <c r="AV1089" s="26"/>
      <c r="AW1089" s="26"/>
      <c r="AX1089" s="26"/>
      <c r="AY1089" s="26"/>
    </row>
    <row r="1090" spans="2:51">
      <c r="B1090" s="31"/>
      <c r="C1090" s="50"/>
      <c r="D1090" s="50"/>
      <c r="J1090" s="16"/>
      <c r="S1090" s="26"/>
      <c r="T1090" s="26"/>
      <c r="U1090" s="26"/>
      <c r="V1090" s="26"/>
      <c r="W1090" s="26"/>
      <c r="X1090" s="26"/>
      <c r="Y1090" s="26"/>
      <c r="Z1090" s="26"/>
      <c r="AA1090" s="26"/>
      <c r="AB1090" s="26"/>
      <c r="AC1090" s="26"/>
      <c r="AD1090" s="26"/>
      <c r="AE1090" s="26"/>
      <c r="AF1090" s="26"/>
      <c r="AG1090" s="26"/>
      <c r="AH1090" s="26"/>
      <c r="AI1090" s="26"/>
      <c r="AJ1090" s="26"/>
      <c r="AK1090" s="26"/>
      <c r="AL1090" s="26"/>
      <c r="AM1090" s="26"/>
      <c r="AN1090" s="26"/>
      <c r="AO1090" s="26"/>
      <c r="AP1090" s="26"/>
      <c r="AQ1090" s="26"/>
      <c r="AR1090" s="26"/>
      <c r="AS1090" s="26"/>
      <c r="AT1090" s="26"/>
      <c r="AU1090" s="26"/>
      <c r="AV1090" s="26"/>
      <c r="AW1090" s="26"/>
      <c r="AX1090" s="26"/>
      <c r="AY1090" s="26"/>
    </row>
    <row r="1091" spans="2:51">
      <c r="B1091" s="31"/>
      <c r="C1091" s="50"/>
      <c r="D1091" s="50"/>
      <c r="J1091" s="16"/>
      <c r="S1091" s="26"/>
      <c r="T1091" s="26"/>
      <c r="U1091" s="26"/>
      <c r="V1091" s="26"/>
      <c r="W1091" s="26"/>
      <c r="X1091" s="26"/>
      <c r="Y1091" s="26"/>
      <c r="Z1091" s="26"/>
      <c r="AA1091" s="26"/>
      <c r="AB1091" s="26"/>
      <c r="AC1091" s="26"/>
      <c r="AD1091" s="26"/>
      <c r="AE1091" s="26"/>
      <c r="AF1091" s="26"/>
      <c r="AG1091" s="26"/>
      <c r="AH1091" s="26"/>
      <c r="AI1091" s="26"/>
      <c r="AJ1091" s="26"/>
      <c r="AK1091" s="26"/>
      <c r="AL1091" s="26"/>
      <c r="AM1091" s="26"/>
      <c r="AN1091" s="26"/>
      <c r="AO1091" s="26"/>
      <c r="AP1091" s="26"/>
      <c r="AQ1091" s="26"/>
      <c r="AR1091" s="26"/>
      <c r="AS1091" s="26"/>
      <c r="AT1091" s="26"/>
      <c r="AU1091" s="26"/>
      <c r="AV1091" s="26"/>
      <c r="AW1091" s="26"/>
      <c r="AX1091" s="26"/>
      <c r="AY1091" s="26"/>
    </row>
    <row r="1092" spans="2:51">
      <c r="B1092" s="31"/>
      <c r="C1092" s="50"/>
      <c r="D1092" s="50"/>
      <c r="J1092" s="16"/>
      <c r="S1092" s="26"/>
      <c r="T1092" s="26"/>
      <c r="U1092" s="26"/>
      <c r="V1092" s="26"/>
      <c r="W1092" s="26"/>
      <c r="X1092" s="26"/>
      <c r="Y1092" s="26"/>
      <c r="Z1092" s="26"/>
      <c r="AA1092" s="26"/>
      <c r="AB1092" s="26"/>
      <c r="AC1092" s="26"/>
      <c r="AD1092" s="26"/>
      <c r="AE1092" s="26"/>
      <c r="AF1092" s="26"/>
      <c r="AG1092" s="26"/>
      <c r="AH1092" s="26"/>
      <c r="AI1092" s="26"/>
      <c r="AJ1092" s="26"/>
      <c r="AK1092" s="26"/>
      <c r="AL1092" s="26"/>
      <c r="AM1092" s="26"/>
      <c r="AN1092" s="26"/>
      <c r="AO1092" s="26"/>
      <c r="AP1092" s="26"/>
      <c r="AQ1092" s="26"/>
      <c r="AR1092" s="26"/>
      <c r="AS1092" s="26"/>
      <c r="AT1092" s="26"/>
      <c r="AU1092" s="26"/>
      <c r="AV1092" s="26"/>
      <c r="AW1092" s="26"/>
      <c r="AX1092" s="26"/>
      <c r="AY1092" s="26"/>
    </row>
    <row r="1093" spans="2:51">
      <c r="B1093" s="31"/>
      <c r="C1093" s="50"/>
      <c r="D1093" s="50"/>
      <c r="J1093" s="16"/>
      <c r="S1093" s="26"/>
      <c r="T1093" s="26"/>
      <c r="U1093" s="26"/>
      <c r="V1093" s="26"/>
      <c r="W1093" s="26"/>
      <c r="X1093" s="26"/>
      <c r="Y1093" s="26"/>
      <c r="Z1093" s="26"/>
      <c r="AA1093" s="26"/>
      <c r="AB1093" s="26"/>
      <c r="AC1093" s="26"/>
      <c r="AD1093" s="26"/>
      <c r="AE1093" s="26"/>
      <c r="AF1093" s="26"/>
      <c r="AG1093" s="26"/>
      <c r="AH1093" s="26"/>
      <c r="AI1093" s="26"/>
      <c r="AJ1093" s="26"/>
      <c r="AK1093" s="26"/>
      <c r="AL1093" s="26"/>
      <c r="AM1093" s="26"/>
      <c r="AN1093" s="26"/>
      <c r="AO1093" s="26"/>
      <c r="AP1093" s="26"/>
      <c r="AQ1093" s="26"/>
      <c r="AR1093" s="26"/>
      <c r="AS1093" s="26"/>
      <c r="AT1093" s="26"/>
      <c r="AU1093" s="26"/>
      <c r="AV1093" s="26"/>
      <c r="AW1093" s="26"/>
      <c r="AX1093" s="26"/>
      <c r="AY1093" s="26"/>
    </row>
    <row r="1094" spans="2:51">
      <c r="B1094" s="31"/>
      <c r="C1094" s="50"/>
      <c r="D1094" s="50"/>
      <c r="J1094" s="16"/>
      <c r="S1094" s="26"/>
      <c r="T1094" s="26"/>
      <c r="U1094" s="26"/>
      <c r="V1094" s="26"/>
      <c r="W1094" s="26"/>
      <c r="X1094" s="26"/>
      <c r="Y1094" s="26"/>
      <c r="Z1094" s="26"/>
      <c r="AA1094" s="26"/>
      <c r="AB1094" s="26"/>
      <c r="AC1094" s="26"/>
      <c r="AD1094" s="26"/>
      <c r="AE1094" s="26"/>
      <c r="AF1094" s="26"/>
      <c r="AG1094" s="26"/>
      <c r="AH1094" s="26"/>
      <c r="AI1094" s="26"/>
      <c r="AJ1094" s="26"/>
      <c r="AK1094" s="26"/>
      <c r="AL1094" s="26"/>
      <c r="AM1094" s="26"/>
      <c r="AN1094" s="26"/>
      <c r="AO1094" s="26"/>
      <c r="AP1094" s="26"/>
      <c r="AQ1094" s="26"/>
      <c r="AR1094" s="26"/>
      <c r="AS1094" s="26"/>
      <c r="AT1094" s="26"/>
      <c r="AU1094" s="26"/>
      <c r="AV1094" s="26"/>
      <c r="AW1094" s="26"/>
      <c r="AX1094" s="26"/>
      <c r="AY1094" s="26"/>
    </row>
    <row r="1095" spans="2:51">
      <c r="B1095" s="31"/>
      <c r="C1095" s="50"/>
      <c r="D1095" s="50"/>
      <c r="J1095" s="16"/>
      <c r="S1095" s="26"/>
      <c r="T1095" s="26"/>
      <c r="U1095" s="26"/>
      <c r="V1095" s="26"/>
      <c r="W1095" s="26"/>
      <c r="X1095" s="26"/>
      <c r="Y1095" s="26"/>
      <c r="Z1095" s="26"/>
      <c r="AA1095" s="26"/>
      <c r="AB1095" s="26"/>
      <c r="AC1095" s="26"/>
      <c r="AD1095" s="26"/>
      <c r="AE1095" s="26"/>
      <c r="AF1095" s="26"/>
      <c r="AG1095" s="26"/>
      <c r="AH1095" s="26"/>
      <c r="AI1095" s="26"/>
      <c r="AJ1095" s="26"/>
      <c r="AK1095" s="26"/>
      <c r="AL1095" s="26"/>
      <c r="AM1095" s="26"/>
      <c r="AN1095" s="26"/>
      <c r="AO1095" s="26"/>
      <c r="AP1095" s="26"/>
      <c r="AQ1095" s="26"/>
      <c r="AR1095" s="26"/>
      <c r="AS1095" s="26"/>
      <c r="AT1095" s="26"/>
      <c r="AU1095" s="26"/>
      <c r="AV1095" s="26"/>
      <c r="AW1095" s="26"/>
      <c r="AX1095" s="26"/>
      <c r="AY1095" s="26"/>
    </row>
    <row r="1096" spans="2:51">
      <c r="B1096" s="31"/>
      <c r="C1096" s="50"/>
      <c r="D1096" s="50"/>
      <c r="J1096" s="16"/>
      <c r="S1096" s="26"/>
      <c r="T1096" s="26"/>
      <c r="U1096" s="26"/>
      <c r="V1096" s="26"/>
      <c r="W1096" s="26"/>
      <c r="X1096" s="26"/>
      <c r="Y1096" s="26"/>
      <c r="Z1096" s="26"/>
      <c r="AA1096" s="26"/>
      <c r="AB1096" s="26"/>
      <c r="AC1096" s="26"/>
      <c r="AD1096" s="26"/>
      <c r="AE1096" s="26"/>
      <c r="AF1096" s="26"/>
      <c r="AG1096" s="26"/>
      <c r="AH1096" s="26"/>
      <c r="AI1096" s="26"/>
      <c r="AJ1096" s="26"/>
      <c r="AK1096" s="26"/>
      <c r="AL1096" s="26"/>
      <c r="AM1096" s="26"/>
      <c r="AN1096" s="26"/>
      <c r="AO1096" s="26"/>
      <c r="AP1096" s="26"/>
      <c r="AQ1096" s="26"/>
      <c r="AR1096" s="26"/>
      <c r="AS1096" s="26"/>
      <c r="AT1096" s="26"/>
      <c r="AU1096" s="26"/>
      <c r="AV1096" s="26"/>
      <c r="AW1096" s="26"/>
      <c r="AX1096" s="26"/>
      <c r="AY1096" s="26"/>
    </row>
    <row r="1097" spans="2:51">
      <c r="B1097" s="31"/>
      <c r="C1097" s="50"/>
      <c r="D1097" s="50"/>
      <c r="J1097" s="16"/>
      <c r="S1097" s="26"/>
      <c r="T1097" s="26"/>
      <c r="U1097" s="26"/>
      <c r="V1097" s="26"/>
      <c r="W1097" s="26"/>
      <c r="X1097" s="26"/>
      <c r="Y1097" s="26"/>
      <c r="Z1097" s="26"/>
      <c r="AA1097" s="26"/>
      <c r="AB1097" s="26"/>
      <c r="AC1097" s="26"/>
      <c r="AD1097" s="26"/>
      <c r="AE1097" s="26"/>
      <c r="AF1097" s="26"/>
      <c r="AG1097" s="26"/>
      <c r="AH1097" s="26"/>
      <c r="AI1097" s="26"/>
      <c r="AJ1097" s="26"/>
      <c r="AK1097" s="26"/>
      <c r="AL1097" s="26"/>
      <c r="AM1097" s="26"/>
      <c r="AN1097" s="26"/>
      <c r="AO1097" s="26"/>
      <c r="AP1097" s="26"/>
      <c r="AQ1097" s="26"/>
      <c r="AR1097" s="26"/>
      <c r="AS1097" s="26"/>
      <c r="AT1097" s="26"/>
      <c r="AU1097" s="26"/>
      <c r="AV1097" s="26"/>
      <c r="AW1097" s="26"/>
      <c r="AX1097" s="26"/>
      <c r="AY1097" s="26"/>
    </row>
    <row r="1098" spans="2:51">
      <c r="B1098" s="31"/>
      <c r="C1098" s="50"/>
      <c r="D1098" s="50"/>
      <c r="J1098" s="16"/>
      <c r="S1098" s="26"/>
      <c r="T1098" s="26"/>
      <c r="U1098" s="26"/>
      <c r="V1098" s="26"/>
      <c r="W1098" s="26"/>
      <c r="X1098" s="26"/>
      <c r="Y1098" s="26"/>
      <c r="Z1098" s="26"/>
      <c r="AA1098" s="26"/>
      <c r="AB1098" s="26"/>
      <c r="AC1098" s="26"/>
      <c r="AD1098" s="26"/>
      <c r="AE1098" s="26"/>
      <c r="AF1098" s="26"/>
      <c r="AG1098" s="26"/>
      <c r="AH1098" s="26"/>
      <c r="AI1098" s="26"/>
      <c r="AJ1098" s="26"/>
      <c r="AK1098" s="26"/>
      <c r="AL1098" s="26"/>
      <c r="AM1098" s="26"/>
      <c r="AN1098" s="26"/>
      <c r="AO1098" s="26"/>
      <c r="AP1098" s="26"/>
      <c r="AQ1098" s="26"/>
      <c r="AR1098" s="26"/>
      <c r="AS1098" s="26"/>
      <c r="AT1098" s="26"/>
      <c r="AU1098" s="26"/>
      <c r="AV1098" s="26"/>
      <c r="AW1098" s="26"/>
      <c r="AX1098" s="26"/>
      <c r="AY1098" s="26"/>
    </row>
    <row r="1099" spans="2:51">
      <c r="B1099" s="31"/>
      <c r="C1099" s="50"/>
      <c r="D1099" s="50"/>
      <c r="J1099" s="16"/>
      <c r="S1099" s="26"/>
      <c r="T1099" s="26"/>
      <c r="U1099" s="26"/>
      <c r="V1099" s="26"/>
      <c r="W1099" s="26"/>
      <c r="X1099" s="26"/>
      <c r="Y1099" s="26"/>
      <c r="Z1099" s="26"/>
      <c r="AA1099" s="26"/>
      <c r="AB1099" s="26"/>
      <c r="AC1099" s="26"/>
      <c r="AD1099" s="26"/>
      <c r="AE1099" s="26"/>
      <c r="AF1099" s="26"/>
      <c r="AG1099" s="26"/>
      <c r="AH1099" s="26"/>
      <c r="AI1099" s="26"/>
      <c r="AJ1099" s="26"/>
      <c r="AK1099" s="26"/>
      <c r="AL1099" s="26"/>
      <c r="AM1099" s="26"/>
      <c r="AN1099" s="26"/>
      <c r="AO1099" s="26"/>
      <c r="AP1099" s="26"/>
      <c r="AQ1099" s="26"/>
      <c r="AR1099" s="26"/>
      <c r="AS1099" s="26"/>
      <c r="AT1099" s="26"/>
      <c r="AU1099" s="26"/>
      <c r="AV1099" s="26"/>
      <c r="AW1099" s="26"/>
      <c r="AX1099" s="26"/>
      <c r="AY1099" s="26"/>
    </row>
    <row r="1100" spans="2:51">
      <c r="B1100" s="31"/>
      <c r="C1100" s="50"/>
      <c r="D1100" s="50"/>
      <c r="J1100" s="16"/>
      <c r="S1100" s="26"/>
      <c r="T1100" s="26"/>
      <c r="U1100" s="26"/>
      <c r="V1100" s="26"/>
      <c r="W1100" s="26"/>
      <c r="X1100" s="26"/>
      <c r="Y1100" s="26"/>
      <c r="Z1100" s="26"/>
      <c r="AA1100" s="26"/>
      <c r="AB1100" s="26"/>
      <c r="AC1100" s="26"/>
      <c r="AD1100" s="26"/>
      <c r="AE1100" s="26"/>
      <c r="AF1100" s="26"/>
      <c r="AG1100" s="26"/>
      <c r="AH1100" s="26"/>
      <c r="AI1100" s="26"/>
      <c r="AJ1100" s="26"/>
      <c r="AK1100" s="26"/>
      <c r="AL1100" s="26"/>
      <c r="AM1100" s="26"/>
      <c r="AN1100" s="26"/>
      <c r="AO1100" s="26"/>
      <c r="AP1100" s="26"/>
      <c r="AQ1100" s="26"/>
      <c r="AR1100" s="26"/>
      <c r="AS1100" s="26"/>
      <c r="AT1100" s="26"/>
      <c r="AU1100" s="26"/>
      <c r="AV1100" s="26"/>
      <c r="AW1100" s="26"/>
      <c r="AX1100" s="26"/>
      <c r="AY1100" s="26"/>
    </row>
    <row r="1101" spans="2:51">
      <c r="B1101" s="31"/>
      <c r="C1101" s="50"/>
      <c r="D1101" s="50"/>
      <c r="J1101" s="16"/>
      <c r="S1101" s="26"/>
      <c r="T1101" s="26"/>
      <c r="U1101" s="26"/>
      <c r="V1101" s="26"/>
      <c r="W1101" s="26"/>
      <c r="X1101" s="26"/>
      <c r="Y1101" s="26"/>
      <c r="Z1101" s="26"/>
      <c r="AA1101" s="26"/>
      <c r="AB1101" s="26"/>
      <c r="AC1101" s="26"/>
      <c r="AD1101" s="26"/>
      <c r="AE1101" s="26"/>
      <c r="AF1101" s="26"/>
      <c r="AG1101" s="26"/>
      <c r="AH1101" s="26"/>
      <c r="AI1101" s="26"/>
      <c r="AJ1101" s="26"/>
      <c r="AK1101" s="26"/>
      <c r="AL1101" s="26"/>
      <c r="AM1101" s="26"/>
      <c r="AN1101" s="26"/>
      <c r="AO1101" s="26"/>
      <c r="AP1101" s="26"/>
      <c r="AQ1101" s="26"/>
      <c r="AR1101" s="26"/>
      <c r="AS1101" s="26"/>
      <c r="AT1101" s="26"/>
      <c r="AU1101" s="26"/>
      <c r="AV1101" s="26"/>
      <c r="AW1101" s="26"/>
      <c r="AX1101" s="26"/>
      <c r="AY1101" s="26"/>
    </row>
    <row r="1102" spans="2:51">
      <c r="B1102" s="31"/>
      <c r="C1102" s="50"/>
      <c r="D1102" s="50"/>
      <c r="J1102" s="16"/>
      <c r="S1102" s="26"/>
      <c r="T1102" s="26"/>
      <c r="U1102" s="26"/>
      <c r="V1102" s="26"/>
      <c r="W1102" s="26"/>
      <c r="X1102" s="26"/>
      <c r="Y1102" s="26"/>
      <c r="Z1102" s="26"/>
      <c r="AA1102" s="26"/>
      <c r="AB1102" s="26"/>
      <c r="AC1102" s="26"/>
      <c r="AD1102" s="26"/>
      <c r="AE1102" s="26"/>
      <c r="AF1102" s="26"/>
      <c r="AG1102" s="26"/>
      <c r="AH1102" s="26"/>
      <c r="AI1102" s="26"/>
      <c r="AJ1102" s="26"/>
      <c r="AK1102" s="26"/>
      <c r="AL1102" s="26"/>
      <c r="AM1102" s="26"/>
      <c r="AN1102" s="26"/>
      <c r="AO1102" s="26"/>
      <c r="AP1102" s="26"/>
      <c r="AQ1102" s="26"/>
      <c r="AR1102" s="26"/>
      <c r="AS1102" s="26"/>
      <c r="AT1102" s="26"/>
      <c r="AU1102" s="26"/>
      <c r="AV1102" s="26"/>
      <c r="AW1102" s="26"/>
      <c r="AX1102" s="26"/>
      <c r="AY1102" s="26"/>
    </row>
    <row r="1103" spans="2:51">
      <c r="C1103" s="50"/>
      <c r="D1103" s="50"/>
      <c r="J1103" s="16"/>
      <c r="S1103" s="26"/>
      <c r="T1103" s="26"/>
      <c r="U1103" s="26"/>
      <c r="V1103" s="26"/>
      <c r="W1103" s="26"/>
      <c r="X1103" s="26"/>
      <c r="Y1103" s="26"/>
      <c r="Z1103" s="26"/>
      <c r="AA1103" s="26"/>
      <c r="AB1103" s="26"/>
      <c r="AC1103" s="26"/>
      <c r="AD1103" s="26"/>
      <c r="AE1103" s="26"/>
      <c r="AF1103" s="26"/>
      <c r="AG1103" s="26"/>
      <c r="AH1103" s="26"/>
      <c r="AI1103" s="26"/>
      <c r="AJ1103" s="26"/>
      <c r="AK1103" s="26"/>
      <c r="AL1103" s="26"/>
      <c r="AM1103" s="26"/>
      <c r="AN1103" s="26"/>
      <c r="AO1103" s="26"/>
      <c r="AP1103" s="26"/>
      <c r="AQ1103" s="26"/>
      <c r="AR1103" s="26"/>
      <c r="AS1103" s="26"/>
      <c r="AT1103" s="26"/>
      <c r="AU1103" s="26"/>
      <c r="AV1103" s="26"/>
      <c r="AW1103" s="26"/>
      <c r="AX1103" s="26"/>
      <c r="AY1103" s="26"/>
    </row>
    <row r="1104" spans="2:51">
      <c r="C1104" s="50"/>
      <c r="D1104" s="50"/>
      <c r="J1104" s="16"/>
      <c r="S1104" s="26"/>
      <c r="T1104" s="26"/>
      <c r="U1104" s="26"/>
      <c r="V1104" s="26"/>
      <c r="W1104" s="26"/>
      <c r="X1104" s="26"/>
      <c r="Y1104" s="26"/>
      <c r="Z1104" s="26"/>
      <c r="AA1104" s="26"/>
      <c r="AB1104" s="26"/>
      <c r="AC1104" s="26"/>
      <c r="AD1104" s="26"/>
      <c r="AE1104" s="26"/>
      <c r="AF1104" s="26"/>
      <c r="AG1104" s="26"/>
      <c r="AH1104" s="26"/>
      <c r="AI1104" s="26"/>
      <c r="AJ1104" s="26"/>
      <c r="AK1104" s="26"/>
      <c r="AL1104" s="26"/>
      <c r="AM1104" s="26"/>
      <c r="AN1104" s="26"/>
      <c r="AO1104" s="26"/>
      <c r="AP1104" s="26"/>
      <c r="AQ1104" s="26"/>
      <c r="AR1104" s="26"/>
      <c r="AS1104" s="26"/>
      <c r="AT1104" s="26"/>
      <c r="AU1104" s="26"/>
      <c r="AV1104" s="26"/>
      <c r="AW1104" s="26"/>
      <c r="AX1104" s="26"/>
      <c r="AY1104" s="26"/>
    </row>
    <row r="1105" spans="1:51">
      <c r="B1105" s="31"/>
      <c r="C1105" s="50"/>
      <c r="D1105" s="50"/>
      <c r="J1105" s="16"/>
      <c r="S1105" s="26"/>
      <c r="T1105" s="26"/>
      <c r="U1105" s="26"/>
      <c r="V1105" s="26"/>
      <c r="W1105" s="26"/>
      <c r="X1105" s="26"/>
      <c r="Y1105" s="26"/>
      <c r="Z1105" s="26"/>
      <c r="AA1105" s="26"/>
      <c r="AB1105" s="26"/>
      <c r="AC1105" s="26"/>
      <c r="AD1105" s="26"/>
      <c r="AE1105" s="26"/>
      <c r="AF1105" s="26"/>
      <c r="AG1105" s="26"/>
      <c r="AH1105" s="26"/>
      <c r="AI1105" s="26"/>
      <c r="AJ1105" s="26"/>
      <c r="AK1105" s="26"/>
      <c r="AL1105" s="26"/>
      <c r="AM1105" s="26"/>
      <c r="AN1105" s="26"/>
      <c r="AO1105" s="26"/>
      <c r="AP1105" s="26"/>
      <c r="AQ1105" s="26"/>
      <c r="AR1105" s="26"/>
      <c r="AS1105" s="26"/>
      <c r="AT1105" s="26"/>
      <c r="AU1105" s="26"/>
      <c r="AV1105" s="26"/>
      <c r="AW1105" s="26"/>
      <c r="AX1105" s="26"/>
      <c r="AY1105" s="26"/>
    </row>
    <row r="1106" spans="1:51">
      <c r="C1106" s="50"/>
      <c r="D1106" s="50"/>
      <c r="J1106" s="16"/>
      <c r="S1106" s="26"/>
      <c r="T1106" s="26"/>
      <c r="U1106" s="26"/>
      <c r="V1106" s="26"/>
      <c r="W1106" s="26"/>
      <c r="X1106" s="26"/>
      <c r="Y1106" s="26"/>
      <c r="Z1106" s="26"/>
      <c r="AA1106" s="26"/>
      <c r="AB1106" s="26"/>
      <c r="AC1106" s="26"/>
      <c r="AD1106" s="26"/>
      <c r="AE1106" s="26"/>
      <c r="AF1106" s="26"/>
      <c r="AG1106" s="26"/>
      <c r="AH1106" s="26"/>
      <c r="AI1106" s="26"/>
      <c r="AJ1106" s="26"/>
      <c r="AK1106" s="26"/>
      <c r="AL1106" s="26"/>
      <c r="AM1106" s="26"/>
      <c r="AN1106" s="26"/>
      <c r="AO1106" s="26"/>
      <c r="AP1106" s="26"/>
      <c r="AQ1106" s="26"/>
      <c r="AR1106" s="26"/>
      <c r="AS1106" s="26"/>
      <c r="AT1106" s="26"/>
      <c r="AU1106" s="26"/>
      <c r="AV1106" s="26"/>
      <c r="AW1106" s="26"/>
      <c r="AX1106" s="26"/>
      <c r="AY1106" s="26"/>
    </row>
    <row r="1107" spans="1:51">
      <c r="B1107" s="31"/>
      <c r="C1107" s="50"/>
      <c r="D1107" s="50"/>
      <c r="J1107" s="16"/>
      <c r="S1107" s="26"/>
      <c r="T1107" s="26"/>
      <c r="U1107" s="26"/>
      <c r="V1107" s="26"/>
      <c r="W1107" s="26"/>
      <c r="X1107" s="26"/>
      <c r="Y1107" s="26"/>
      <c r="Z1107" s="26"/>
      <c r="AA1107" s="26"/>
      <c r="AB1107" s="26"/>
      <c r="AC1107" s="26"/>
      <c r="AD1107" s="26"/>
      <c r="AE1107" s="26"/>
      <c r="AF1107" s="26"/>
      <c r="AG1107" s="26"/>
      <c r="AH1107" s="26"/>
      <c r="AI1107" s="26"/>
      <c r="AJ1107" s="26"/>
      <c r="AK1107" s="26"/>
      <c r="AL1107" s="26"/>
      <c r="AM1107" s="26"/>
      <c r="AN1107" s="26"/>
      <c r="AO1107" s="26"/>
      <c r="AP1107" s="26"/>
      <c r="AQ1107" s="26"/>
      <c r="AR1107" s="26"/>
      <c r="AS1107" s="26"/>
      <c r="AT1107" s="26"/>
      <c r="AU1107" s="26"/>
      <c r="AV1107" s="26"/>
      <c r="AW1107" s="26"/>
      <c r="AX1107" s="26"/>
      <c r="AY1107" s="26"/>
    </row>
    <row r="1108" spans="1:51">
      <c r="B1108" s="31"/>
      <c r="C1108" s="50"/>
      <c r="D1108" s="50"/>
      <c r="J1108" s="16"/>
      <c r="S1108" s="26"/>
      <c r="T1108" s="26"/>
      <c r="U1108" s="26"/>
      <c r="V1108" s="26"/>
      <c r="W1108" s="26"/>
      <c r="X1108" s="26"/>
      <c r="Y1108" s="26"/>
      <c r="Z1108" s="26"/>
      <c r="AA1108" s="26"/>
      <c r="AB1108" s="26"/>
      <c r="AC1108" s="26"/>
      <c r="AD1108" s="26"/>
      <c r="AE1108" s="26"/>
      <c r="AF1108" s="26"/>
      <c r="AG1108" s="26"/>
      <c r="AH1108" s="26"/>
      <c r="AI1108" s="26"/>
      <c r="AJ1108" s="26"/>
      <c r="AK1108" s="26"/>
      <c r="AL1108" s="26"/>
      <c r="AM1108" s="26"/>
      <c r="AN1108" s="26"/>
      <c r="AO1108" s="26"/>
      <c r="AP1108" s="26"/>
      <c r="AQ1108" s="26"/>
      <c r="AR1108" s="26"/>
      <c r="AS1108" s="26"/>
      <c r="AT1108" s="26"/>
      <c r="AU1108" s="26"/>
      <c r="AV1108" s="26"/>
      <c r="AW1108" s="26"/>
      <c r="AX1108" s="26"/>
      <c r="AY1108" s="26"/>
    </row>
    <row r="1109" spans="1:51">
      <c r="J1109" s="16"/>
      <c r="S1109" s="26"/>
      <c r="T1109" s="26"/>
      <c r="U1109" s="26"/>
      <c r="V1109" s="26"/>
      <c r="W1109" s="26"/>
      <c r="X1109" s="26"/>
      <c r="Y1109" s="26"/>
      <c r="Z1109" s="26"/>
      <c r="AA1109" s="26"/>
      <c r="AB1109" s="26"/>
      <c r="AC1109" s="26"/>
      <c r="AD1109" s="26"/>
      <c r="AE1109" s="26"/>
      <c r="AF1109" s="26"/>
      <c r="AG1109" s="26"/>
      <c r="AH1109" s="26"/>
      <c r="AI1109" s="26"/>
      <c r="AJ1109" s="26"/>
      <c r="AK1109" s="26"/>
      <c r="AL1109" s="26"/>
      <c r="AM1109" s="26"/>
      <c r="AN1109" s="26"/>
      <c r="AO1109" s="26"/>
      <c r="AP1109" s="26"/>
      <c r="AQ1109" s="26"/>
      <c r="AR1109" s="26"/>
      <c r="AS1109" s="26"/>
      <c r="AT1109" s="26"/>
      <c r="AU1109" s="26"/>
      <c r="AV1109" s="26"/>
      <c r="AW1109" s="26"/>
      <c r="AX1109" s="26"/>
      <c r="AY1109" s="26"/>
    </row>
    <row r="1110" spans="1:51">
      <c r="J1110" s="16"/>
      <c r="S1110" s="26"/>
      <c r="T1110" s="26"/>
      <c r="U1110" s="26"/>
      <c r="V1110" s="26"/>
      <c r="W1110" s="26"/>
      <c r="X1110" s="26"/>
      <c r="Y1110" s="26"/>
      <c r="Z1110" s="26"/>
      <c r="AA1110" s="26"/>
      <c r="AB1110" s="26"/>
      <c r="AC1110" s="26"/>
      <c r="AD1110" s="26"/>
      <c r="AE1110" s="26"/>
      <c r="AF1110" s="26"/>
      <c r="AG1110" s="26"/>
      <c r="AH1110" s="26"/>
      <c r="AI1110" s="26"/>
      <c r="AJ1110" s="26"/>
      <c r="AK1110" s="26"/>
      <c r="AL1110" s="26"/>
      <c r="AM1110" s="26"/>
      <c r="AN1110" s="26"/>
      <c r="AO1110" s="26"/>
      <c r="AP1110" s="26"/>
      <c r="AQ1110" s="26"/>
      <c r="AR1110" s="26"/>
      <c r="AS1110" s="26"/>
      <c r="AT1110" s="26"/>
      <c r="AU1110" s="26"/>
      <c r="AV1110" s="26"/>
      <c r="AW1110" s="26"/>
      <c r="AX1110" s="26"/>
      <c r="AY1110" s="26"/>
    </row>
    <row r="1111" spans="1:51">
      <c r="J1111" s="16"/>
      <c r="S1111" s="26"/>
      <c r="T1111" s="26"/>
      <c r="U1111" s="26"/>
      <c r="V1111" s="26"/>
      <c r="W1111" s="26"/>
      <c r="X1111" s="26"/>
      <c r="Y1111" s="26"/>
      <c r="Z1111" s="26"/>
      <c r="AA1111" s="26"/>
      <c r="AB1111" s="26"/>
      <c r="AC1111" s="26"/>
      <c r="AD1111" s="26"/>
      <c r="AE1111" s="26"/>
      <c r="AF1111" s="26"/>
      <c r="AG1111" s="26"/>
      <c r="AH1111" s="26"/>
      <c r="AI1111" s="26"/>
      <c r="AJ1111" s="26"/>
      <c r="AK1111" s="26"/>
      <c r="AL1111" s="26"/>
      <c r="AM1111" s="26"/>
      <c r="AN1111" s="26"/>
      <c r="AO1111" s="26"/>
      <c r="AP1111" s="26"/>
      <c r="AQ1111" s="26"/>
      <c r="AR1111" s="26"/>
      <c r="AS1111" s="26"/>
      <c r="AT1111" s="26"/>
      <c r="AU1111" s="26"/>
      <c r="AV1111" s="26"/>
      <c r="AW1111" s="26"/>
      <c r="AX1111" s="26"/>
      <c r="AY1111" s="26"/>
    </row>
    <row r="1112" spans="1:51" ht="33.75" customHeight="1">
      <c r="A1112" s="26"/>
      <c r="B1112" s="66" t="s">
        <v>201</v>
      </c>
      <c r="C1112" s="67"/>
      <c r="D1112" s="67"/>
      <c r="E1112" s="26"/>
      <c r="F1112" s="26"/>
      <c r="G1112" s="26"/>
      <c r="H1112" s="26"/>
      <c r="I1112" s="26"/>
      <c r="J1112" s="26"/>
      <c r="K1112" s="26"/>
      <c r="L1112" s="26"/>
      <c r="M1112" s="26"/>
      <c r="N1112" s="26"/>
      <c r="O1112" s="26"/>
      <c r="P1112" s="26"/>
      <c r="Q1112" s="26"/>
      <c r="R1112" s="26"/>
      <c r="S1112" s="26"/>
      <c r="T1112" s="26"/>
      <c r="U1112" s="26"/>
      <c r="V1112" s="26"/>
      <c r="W1112" s="26"/>
      <c r="X1112" s="26"/>
      <c r="Y1112" s="26"/>
      <c r="Z1112" s="26"/>
      <c r="AA1112" s="26"/>
      <c r="AB1112" s="26"/>
      <c r="AC1112" s="26"/>
      <c r="AD1112" s="26"/>
      <c r="AE1112" s="26"/>
      <c r="AF1112" s="26"/>
      <c r="AG1112" s="26"/>
      <c r="AH1112" s="26"/>
      <c r="AI1112" s="26"/>
      <c r="AJ1112" s="26"/>
      <c r="AK1112" s="26"/>
      <c r="AL1112" s="26"/>
      <c r="AM1112" s="26"/>
      <c r="AN1112" s="26"/>
      <c r="AO1112" s="26"/>
      <c r="AP1112" s="26"/>
      <c r="AQ1112" s="26"/>
      <c r="AR1112" s="26"/>
      <c r="AS1112" s="26"/>
      <c r="AT1112" s="26"/>
      <c r="AU1112" s="26"/>
      <c r="AV1112" s="26"/>
      <c r="AW1112" s="26"/>
      <c r="AX1112" s="26"/>
      <c r="AY1112" s="26"/>
    </row>
    <row r="1113" spans="1:51">
      <c r="J1113" s="16"/>
      <c r="S1113" s="26"/>
      <c r="T1113" s="26"/>
      <c r="U1113" s="26"/>
      <c r="V1113" s="26"/>
      <c r="W1113" s="26"/>
      <c r="X1113" s="26"/>
      <c r="Y1113" s="26"/>
      <c r="Z1113" s="26"/>
      <c r="AA1113" s="26"/>
      <c r="AB1113" s="26"/>
      <c r="AC1113" s="26"/>
      <c r="AD1113" s="26"/>
      <c r="AE1113" s="26"/>
      <c r="AF1113" s="26"/>
      <c r="AG1113" s="26"/>
      <c r="AH1113" s="26"/>
      <c r="AI1113" s="26"/>
      <c r="AJ1113" s="26"/>
      <c r="AK1113" s="26"/>
      <c r="AL1113" s="26"/>
      <c r="AM1113" s="26"/>
      <c r="AN1113" s="26"/>
      <c r="AO1113" s="26"/>
      <c r="AP1113" s="26"/>
      <c r="AQ1113" s="26"/>
      <c r="AR1113" s="26"/>
      <c r="AS1113" s="26"/>
      <c r="AT1113" s="26"/>
      <c r="AU1113" s="26"/>
      <c r="AV1113" s="26"/>
      <c r="AW1113" s="26"/>
      <c r="AX1113" s="26"/>
      <c r="AY1113" s="26"/>
    </row>
    <row r="1114" spans="1:51">
      <c r="B1114" s="31"/>
      <c r="C1114" s="50"/>
      <c r="D1114" s="50"/>
      <c r="S1114" s="26"/>
      <c r="T1114" s="26"/>
      <c r="U1114" s="26"/>
      <c r="V1114" s="26"/>
      <c r="W1114" s="26"/>
      <c r="X1114" s="26"/>
      <c r="Y1114" s="26"/>
      <c r="Z1114" s="26"/>
      <c r="AA1114" s="26"/>
      <c r="AB1114" s="26"/>
      <c r="AC1114" s="26"/>
      <c r="AD1114" s="26"/>
      <c r="AE1114" s="26"/>
      <c r="AF1114" s="26"/>
      <c r="AG1114" s="26"/>
      <c r="AH1114" s="26"/>
      <c r="AI1114" s="26"/>
      <c r="AJ1114" s="26"/>
      <c r="AK1114" s="26"/>
      <c r="AL1114" s="26"/>
      <c r="AM1114" s="26"/>
      <c r="AN1114" s="26"/>
      <c r="AO1114" s="26"/>
      <c r="AP1114" s="26"/>
      <c r="AQ1114" s="26"/>
      <c r="AR1114" s="26"/>
      <c r="AS1114" s="26"/>
      <c r="AT1114" s="26"/>
      <c r="AU1114" s="26"/>
      <c r="AV1114" s="26"/>
      <c r="AW1114" s="26"/>
      <c r="AX1114" s="26"/>
      <c r="AY1114" s="26"/>
    </row>
    <row r="1115" spans="1:51">
      <c r="B1115" s="30" t="s">
        <v>227</v>
      </c>
      <c r="C1115" s="70" t="s">
        <v>202</v>
      </c>
      <c r="D1115" s="37" t="s">
        <v>202</v>
      </c>
      <c r="E1115" s="31"/>
      <c r="F1115" s="31"/>
      <c r="G1115" s="31"/>
      <c r="H1115" s="31"/>
      <c r="I1115" s="35"/>
      <c r="J1115" s="31"/>
      <c r="K1115" s="31"/>
      <c r="L1115" s="31"/>
      <c r="M1115" s="31"/>
      <c r="N1115" s="31"/>
      <c r="O1115" s="31"/>
      <c r="S1115" s="76"/>
      <c r="T1115" s="76"/>
      <c r="U1115" s="82"/>
      <c r="V1115" s="76"/>
      <c r="W1115" s="76"/>
      <c r="X1115" s="76"/>
      <c r="Y1115" s="76"/>
      <c r="Z1115" s="76"/>
      <c r="AA1115" s="76"/>
      <c r="AB1115" s="76"/>
      <c r="AC1115" s="76"/>
      <c r="AD1115" s="76"/>
      <c r="AE1115" s="76"/>
      <c r="AF1115" s="76"/>
      <c r="AG1115" s="76"/>
      <c r="AH1115" s="26"/>
      <c r="AI1115" s="26"/>
      <c r="AJ1115" s="26"/>
      <c r="AK1115" s="26"/>
      <c r="AL1115" s="26"/>
      <c r="AM1115" s="26"/>
      <c r="AN1115" s="26"/>
      <c r="AO1115" s="26"/>
      <c r="AP1115" s="26"/>
      <c r="AQ1115" s="26"/>
      <c r="AR1115" s="26"/>
      <c r="AS1115" s="26"/>
      <c r="AT1115" s="26"/>
      <c r="AU1115" s="26"/>
      <c r="AV1115" s="26"/>
      <c r="AW1115" s="26"/>
      <c r="AX1115" s="26"/>
      <c r="AY1115" s="26"/>
    </row>
    <row r="1116" spans="1:51">
      <c r="B1116" s="52"/>
      <c r="C1116" s="70" t="s">
        <v>191</v>
      </c>
      <c r="D1116" s="37" t="s">
        <v>192</v>
      </c>
      <c r="E1116" s="31"/>
      <c r="F1116" s="31"/>
      <c r="G1116" s="31"/>
      <c r="H1116" s="31"/>
      <c r="I1116" s="35"/>
      <c r="J1116" s="31"/>
      <c r="K1116" s="31"/>
      <c r="L1116" s="31"/>
      <c r="M1116" s="31"/>
      <c r="N1116" s="31"/>
      <c r="O1116" s="31"/>
      <c r="S1116" s="76"/>
      <c r="T1116" s="76"/>
      <c r="U1116" s="82"/>
      <c r="V1116" s="76"/>
      <c r="W1116" s="76"/>
      <c r="X1116" s="76"/>
      <c r="Y1116" s="76"/>
      <c r="Z1116" s="76"/>
      <c r="AA1116" s="76"/>
      <c r="AB1116" s="76"/>
      <c r="AC1116" s="76"/>
      <c r="AD1116" s="76"/>
      <c r="AE1116" s="76"/>
      <c r="AF1116" s="76"/>
      <c r="AG1116" s="76"/>
      <c r="AH1116" s="26"/>
      <c r="AI1116" s="26"/>
      <c r="AJ1116" s="26"/>
      <c r="AK1116" s="26"/>
      <c r="AL1116" s="26"/>
      <c r="AM1116" s="26"/>
      <c r="AN1116" s="26"/>
      <c r="AO1116" s="26"/>
      <c r="AP1116" s="26"/>
      <c r="AQ1116" s="26"/>
      <c r="AR1116" s="26"/>
      <c r="AS1116" s="26"/>
      <c r="AT1116" s="26"/>
      <c r="AU1116" s="26"/>
      <c r="AV1116" s="26"/>
      <c r="AW1116" s="26"/>
      <c r="AX1116" s="26"/>
      <c r="AY1116" s="26"/>
    </row>
    <row r="1117" spans="1:51">
      <c r="B1117" s="53" t="s">
        <v>192</v>
      </c>
      <c r="C1117" s="73"/>
      <c r="D1117" s="12" t="e">
        <f>SUM(#REF!)</f>
        <v>#REF!</v>
      </c>
      <c r="E1117" s="85"/>
      <c r="F1117" s="85"/>
      <c r="G1117" s="85"/>
      <c r="H1117" s="85"/>
      <c r="I1117" s="35"/>
      <c r="J1117" s="85"/>
      <c r="K1117" s="85"/>
      <c r="L1117" s="85"/>
      <c r="M1117" s="85"/>
      <c r="N1117" s="85"/>
      <c r="O1117" s="85"/>
      <c r="S1117" s="86"/>
      <c r="T1117" s="86"/>
      <c r="U1117" s="82"/>
      <c r="V1117" s="87"/>
      <c r="W1117" s="87"/>
      <c r="X1117" s="87"/>
      <c r="Y1117" s="87"/>
      <c r="Z1117" s="87"/>
      <c r="AA1117" s="87"/>
      <c r="AB1117" s="79"/>
      <c r="AC1117" s="79"/>
      <c r="AD1117" s="79"/>
      <c r="AE1117" s="79"/>
      <c r="AF1117" s="79"/>
      <c r="AG1117" s="79"/>
      <c r="AH1117" s="26"/>
      <c r="AI1117" s="26"/>
      <c r="AJ1117" s="26"/>
      <c r="AK1117" s="26"/>
      <c r="AL1117" s="26"/>
      <c r="AM1117" s="26"/>
      <c r="AN1117" s="26"/>
      <c r="AO1117" s="26"/>
      <c r="AP1117" s="26"/>
      <c r="AQ1117" s="26"/>
      <c r="AR1117" s="26"/>
      <c r="AS1117" s="26"/>
      <c r="AT1117" s="26"/>
      <c r="AU1117" s="26"/>
      <c r="AV1117" s="26"/>
      <c r="AW1117" s="26"/>
      <c r="AX1117" s="26"/>
      <c r="AY1117" s="26"/>
    </row>
    <row r="1118" spans="1:51">
      <c r="B1118" s="53" t="s">
        <v>194</v>
      </c>
      <c r="C1118" s="73"/>
      <c r="D1118" s="12" t="e">
        <f>-(#REF!+#REF!)-(#REF!+#REF!)-(#REF!+#REF!)-(#REF!+#REF!)-(#REF!+#REF!)-(#REF!+#REF!)</f>
        <v>#REF!</v>
      </c>
      <c r="E1118" s="85"/>
      <c r="F1118" s="85"/>
      <c r="G1118" s="85"/>
      <c r="H1118" s="85"/>
      <c r="I1118" s="35"/>
      <c r="J1118" s="85"/>
      <c r="K1118" s="85"/>
      <c r="L1118" s="85"/>
      <c r="M1118" s="85"/>
      <c r="N1118" s="85"/>
      <c r="O1118" s="85"/>
      <c r="S1118" s="86"/>
      <c r="T1118" s="86"/>
      <c r="U1118" s="82"/>
      <c r="V1118" s="79"/>
      <c r="W1118" s="79"/>
      <c r="X1118" s="79"/>
      <c r="Y1118" s="79"/>
      <c r="Z1118" s="79"/>
      <c r="AA1118" s="79"/>
      <c r="AB1118" s="79"/>
      <c r="AC1118" s="79"/>
      <c r="AD1118" s="79"/>
      <c r="AE1118" s="79"/>
      <c r="AF1118" s="79"/>
      <c r="AG1118" s="79"/>
      <c r="AH1118" s="26"/>
      <c r="AI1118" s="26"/>
      <c r="AJ1118" s="26"/>
      <c r="AK1118" s="26"/>
      <c r="AL1118" s="26"/>
      <c r="AM1118" s="26"/>
      <c r="AN1118" s="26"/>
      <c r="AO1118" s="26"/>
      <c r="AP1118" s="26"/>
      <c r="AQ1118" s="26"/>
      <c r="AR1118" s="26"/>
      <c r="AS1118" s="26"/>
      <c r="AT1118" s="26"/>
      <c r="AU1118" s="26"/>
      <c r="AV1118" s="26"/>
      <c r="AW1118" s="26"/>
      <c r="AX1118" s="26"/>
      <c r="AY1118" s="26"/>
    </row>
    <row r="1119" spans="1:51">
      <c r="B1119" s="95" t="s">
        <v>212</v>
      </c>
      <c r="C1119" s="73"/>
      <c r="D1119" s="12" t="e">
        <f>(-#REF!)</f>
        <v>#REF!</v>
      </c>
      <c r="E1119" s="85"/>
      <c r="F1119" s="85"/>
      <c r="G1119" s="85"/>
      <c r="H1119" s="85"/>
      <c r="I1119" s="35"/>
      <c r="J1119" s="85"/>
      <c r="K1119" s="85"/>
      <c r="L1119" s="85"/>
      <c r="M1119" s="85"/>
      <c r="N1119" s="85"/>
      <c r="O1119" s="85"/>
      <c r="S1119" s="86"/>
      <c r="T1119" s="86"/>
      <c r="U1119" s="82"/>
      <c r="V1119" s="79"/>
      <c r="W1119" s="79"/>
      <c r="X1119" s="79"/>
      <c r="Y1119" s="79"/>
      <c r="Z1119" s="79"/>
      <c r="AA1119" s="79"/>
      <c r="AB1119" s="79"/>
      <c r="AC1119" s="79"/>
      <c r="AD1119" s="79"/>
      <c r="AE1119" s="79"/>
      <c r="AF1119" s="79"/>
      <c r="AG1119" s="79"/>
      <c r="AH1119" s="26"/>
      <c r="AI1119" s="26"/>
      <c r="AJ1119" s="26"/>
      <c r="AK1119" s="26"/>
      <c r="AL1119" s="26"/>
      <c r="AM1119" s="26"/>
      <c r="AN1119" s="26"/>
      <c r="AO1119" s="26"/>
      <c r="AP1119" s="26"/>
      <c r="AQ1119" s="26"/>
      <c r="AR1119" s="26"/>
      <c r="AS1119" s="26"/>
      <c r="AT1119" s="26"/>
      <c r="AU1119" s="26"/>
      <c r="AV1119" s="26"/>
      <c r="AW1119" s="26"/>
      <c r="AX1119" s="26"/>
      <c r="AY1119" s="26"/>
    </row>
    <row r="1120" spans="1:51">
      <c r="B1120" s="53"/>
      <c r="C1120" s="73"/>
      <c r="D1120" s="12"/>
      <c r="E1120" s="85"/>
      <c r="F1120" s="85"/>
      <c r="G1120" s="85"/>
      <c r="H1120" s="85"/>
      <c r="I1120" s="35"/>
      <c r="J1120" s="85"/>
      <c r="K1120" s="85"/>
      <c r="L1120" s="85"/>
      <c r="M1120" s="85"/>
      <c r="N1120" s="85"/>
      <c r="O1120" s="85"/>
      <c r="S1120" s="86"/>
      <c r="T1120" s="86"/>
      <c r="U1120" s="82"/>
      <c r="V1120" s="79"/>
      <c r="W1120" s="79"/>
      <c r="X1120" s="79"/>
      <c r="Y1120" s="79"/>
      <c r="Z1120" s="79"/>
      <c r="AA1120" s="79"/>
      <c r="AB1120" s="79"/>
      <c r="AC1120" s="79"/>
      <c r="AD1120" s="79"/>
      <c r="AE1120" s="79"/>
      <c r="AF1120" s="79"/>
      <c r="AG1120" s="79"/>
      <c r="AH1120" s="26"/>
      <c r="AI1120" s="26"/>
      <c r="AJ1120" s="26"/>
      <c r="AK1120" s="26"/>
      <c r="AL1120" s="26"/>
      <c r="AM1120" s="26"/>
      <c r="AN1120" s="26"/>
      <c r="AO1120" s="26"/>
      <c r="AP1120" s="26"/>
      <c r="AQ1120" s="26"/>
      <c r="AR1120" s="26"/>
      <c r="AS1120" s="26"/>
      <c r="AT1120" s="26"/>
      <c r="AU1120" s="26"/>
      <c r="AV1120" s="26"/>
      <c r="AW1120" s="26"/>
      <c r="AX1120" s="26"/>
      <c r="AY1120" s="26"/>
    </row>
    <row r="1121" spans="2:51">
      <c r="B1121" s="53" t="s">
        <v>196</v>
      </c>
      <c r="C1121" s="73" t="e">
        <f>#REF!+#REF!+#REF!+#REF!+#REF!+#REF!+#REF!+#REF!+#REF!+#REF!+#REF!+#REF!+#REF!+#REF!</f>
        <v>#REF!</v>
      </c>
      <c r="D1121" s="12"/>
      <c r="E1121" s="85"/>
      <c r="F1121" s="85"/>
      <c r="G1121" s="85"/>
      <c r="H1121" s="85"/>
      <c r="I1121" s="35"/>
      <c r="J1121" s="85"/>
      <c r="K1121" s="85"/>
      <c r="L1121" s="85"/>
      <c r="M1121" s="85"/>
      <c r="N1121" s="85"/>
      <c r="O1121" s="85"/>
      <c r="S1121" s="86"/>
      <c r="T1121" s="86"/>
      <c r="U1121" s="82"/>
      <c r="V1121" s="79"/>
      <c r="W1121" s="79"/>
      <c r="X1121" s="79"/>
      <c r="Y1121" s="79"/>
      <c r="Z1121" s="79"/>
      <c r="AA1121" s="79"/>
      <c r="AB1121" s="79"/>
      <c r="AC1121" s="79"/>
      <c r="AD1121" s="79"/>
      <c r="AE1121" s="79"/>
      <c r="AF1121" s="79"/>
      <c r="AG1121" s="79"/>
      <c r="AH1121" s="26"/>
      <c r="AI1121" s="26"/>
      <c r="AJ1121" s="26"/>
      <c r="AK1121" s="26"/>
      <c r="AL1121" s="26"/>
      <c r="AM1121" s="26"/>
      <c r="AN1121" s="26"/>
      <c r="AO1121" s="26"/>
      <c r="AP1121" s="26"/>
      <c r="AQ1121" s="26"/>
      <c r="AR1121" s="26"/>
      <c r="AS1121" s="26"/>
      <c r="AT1121" s="26"/>
      <c r="AU1121" s="26"/>
      <c r="AV1121" s="26"/>
      <c r="AW1121" s="26"/>
      <c r="AX1121" s="26"/>
      <c r="AY1121" s="26"/>
    </row>
    <row r="1122" spans="2:51">
      <c r="B1122" s="53" t="s">
        <v>203</v>
      </c>
      <c r="C1122" s="73" t="e">
        <f>#REF!+#REF!+#REF!+#REF!+#REF!+#REF!</f>
        <v>#REF!</v>
      </c>
      <c r="D1122" s="12"/>
      <c r="E1122" s="85"/>
      <c r="F1122" s="85"/>
      <c r="G1122" s="85"/>
      <c r="H1122" s="85"/>
      <c r="I1122" s="35"/>
      <c r="J1122" s="85"/>
      <c r="K1122" s="85"/>
      <c r="L1122" s="85"/>
      <c r="M1122" s="85"/>
      <c r="N1122" s="85"/>
      <c r="O1122" s="85"/>
      <c r="S1122" s="86"/>
      <c r="T1122" s="86"/>
      <c r="U1122" s="82"/>
      <c r="V1122" s="82"/>
      <c r="W1122" s="82"/>
      <c r="X1122" s="82"/>
      <c r="Y1122" s="82"/>
      <c r="Z1122" s="82"/>
      <c r="AA1122" s="82"/>
      <c r="AB1122" s="79"/>
      <c r="AC1122" s="79"/>
      <c r="AD1122" s="79"/>
      <c r="AE1122" s="79"/>
      <c r="AF1122" s="79"/>
      <c r="AG1122" s="79"/>
      <c r="AH1122" s="26"/>
      <c r="AI1122" s="26"/>
      <c r="AJ1122" s="26"/>
      <c r="AK1122" s="26"/>
      <c r="AL1122" s="26"/>
      <c r="AM1122" s="26"/>
      <c r="AN1122" s="26"/>
      <c r="AO1122" s="26"/>
      <c r="AP1122" s="26"/>
      <c r="AQ1122" s="26"/>
      <c r="AR1122" s="26"/>
      <c r="AS1122" s="26"/>
      <c r="AT1122" s="26"/>
      <c r="AU1122" s="26"/>
      <c r="AV1122" s="26"/>
      <c r="AW1122" s="26"/>
      <c r="AX1122" s="26"/>
      <c r="AY1122" s="26"/>
    </row>
    <row r="1123" spans="2:51">
      <c r="B1123" s="53" t="s">
        <v>204</v>
      </c>
      <c r="C1123" s="73" t="e">
        <f>#REF!+#REF!+#REF!+#REF!+#REF!+#REF!</f>
        <v>#REF!</v>
      </c>
      <c r="D1123" s="12"/>
      <c r="E1123" s="85"/>
      <c r="F1123" s="85"/>
      <c r="G1123" s="85"/>
      <c r="H1123" s="85"/>
      <c r="I1123" s="35"/>
      <c r="J1123" s="85"/>
      <c r="K1123" s="85"/>
      <c r="L1123" s="85"/>
      <c r="M1123" s="85"/>
      <c r="N1123" s="85"/>
      <c r="O1123" s="85"/>
      <c r="S1123" s="86"/>
      <c r="T1123" s="86"/>
      <c r="U1123" s="82"/>
      <c r="V1123" s="82"/>
      <c r="W1123" s="82"/>
      <c r="X1123" s="82"/>
      <c r="Y1123" s="82"/>
      <c r="Z1123" s="82"/>
      <c r="AA1123" s="82"/>
      <c r="AB1123" s="79"/>
      <c r="AC1123" s="79"/>
      <c r="AD1123" s="79"/>
      <c r="AE1123" s="79"/>
      <c r="AF1123" s="79"/>
      <c r="AG1123" s="79"/>
      <c r="AH1123" s="26"/>
      <c r="AI1123" s="26"/>
      <c r="AJ1123" s="26"/>
      <c r="AK1123" s="26"/>
      <c r="AL1123" s="26"/>
      <c r="AM1123" s="26"/>
      <c r="AN1123" s="26"/>
      <c r="AO1123" s="26"/>
      <c r="AP1123" s="26"/>
      <c r="AQ1123" s="26"/>
      <c r="AR1123" s="26"/>
      <c r="AS1123" s="26"/>
      <c r="AT1123" s="26"/>
      <c r="AU1123" s="26"/>
      <c r="AV1123" s="26"/>
      <c r="AW1123" s="26"/>
      <c r="AX1123" s="26"/>
      <c r="AY1123" s="26"/>
    </row>
    <row r="1124" spans="2:51">
      <c r="B1124" s="53" t="s">
        <v>205</v>
      </c>
      <c r="C1124" s="73" t="e">
        <f>#REF!+#REF!</f>
        <v>#REF!</v>
      </c>
      <c r="D1124" s="12"/>
      <c r="E1124" s="85"/>
      <c r="F1124" s="85"/>
      <c r="G1124" s="85"/>
      <c r="H1124" s="85"/>
      <c r="I1124" s="35"/>
      <c r="J1124" s="88"/>
      <c r="K1124" s="88"/>
      <c r="L1124" s="88"/>
      <c r="M1124" s="88"/>
      <c r="N1124" s="88"/>
      <c r="O1124" s="88"/>
      <c r="S1124" s="86"/>
      <c r="T1124" s="86"/>
      <c r="U1124" s="82"/>
      <c r="V1124" s="79"/>
      <c r="W1124" s="79"/>
      <c r="X1124" s="79"/>
      <c r="Y1124" s="79"/>
      <c r="Z1124" s="79"/>
      <c r="AA1124" s="79"/>
      <c r="AB1124" s="79"/>
      <c r="AC1124" s="79"/>
      <c r="AD1124" s="79"/>
      <c r="AE1124" s="79"/>
      <c r="AF1124" s="79"/>
      <c r="AG1124" s="79"/>
      <c r="AH1124" s="26"/>
      <c r="AI1124" s="26"/>
      <c r="AJ1124" s="26"/>
      <c r="AK1124" s="26"/>
      <c r="AL1124" s="26"/>
      <c r="AM1124" s="26"/>
      <c r="AN1124" s="26"/>
      <c r="AO1124" s="26"/>
      <c r="AP1124" s="26"/>
      <c r="AQ1124" s="26"/>
      <c r="AR1124" s="26"/>
      <c r="AS1124" s="26"/>
      <c r="AT1124" s="26"/>
      <c r="AU1124" s="26"/>
      <c r="AV1124" s="26"/>
      <c r="AW1124" s="26"/>
      <c r="AX1124" s="26"/>
      <c r="AY1124" s="26"/>
    </row>
    <row r="1125" spans="2:51">
      <c r="B1125" s="53" t="s">
        <v>219</v>
      </c>
      <c r="C1125" s="73" t="e">
        <f>#REF!</f>
        <v>#REF!</v>
      </c>
      <c r="D1125" s="12"/>
      <c r="E1125" s="85"/>
      <c r="F1125" s="85"/>
      <c r="G1125" s="85"/>
      <c r="H1125" s="85"/>
      <c r="I1125" s="35"/>
      <c r="J1125" s="88"/>
      <c r="K1125" s="88"/>
      <c r="L1125" s="88"/>
      <c r="M1125" s="88"/>
      <c r="N1125" s="88"/>
      <c r="O1125" s="88"/>
      <c r="S1125" s="86"/>
      <c r="T1125" s="86"/>
      <c r="U1125" s="82"/>
      <c r="V1125" s="79"/>
      <c r="W1125" s="79"/>
      <c r="X1125" s="79"/>
      <c r="Y1125" s="79"/>
      <c r="Z1125" s="79"/>
      <c r="AA1125" s="79"/>
      <c r="AB1125" s="79"/>
      <c r="AC1125" s="79"/>
      <c r="AD1125" s="79"/>
      <c r="AE1125" s="79"/>
      <c r="AF1125" s="79"/>
      <c r="AG1125" s="79"/>
      <c r="AH1125" s="26"/>
      <c r="AI1125" s="26"/>
      <c r="AJ1125" s="26"/>
      <c r="AK1125" s="26"/>
      <c r="AL1125" s="26"/>
      <c r="AM1125" s="26"/>
      <c r="AN1125" s="26"/>
      <c r="AO1125" s="26"/>
      <c r="AP1125" s="26"/>
      <c r="AQ1125" s="26"/>
      <c r="AR1125" s="26"/>
      <c r="AS1125" s="26"/>
      <c r="AT1125" s="26"/>
      <c r="AU1125" s="26"/>
      <c r="AV1125" s="26"/>
      <c r="AW1125" s="26"/>
      <c r="AX1125" s="26"/>
      <c r="AY1125" s="26"/>
    </row>
    <row r="1126" spans="2:51">
      <c r="B1126" s="53" t="s">
        <v>218</v>
      </c>
      <c r="C1126" s="73" t="e">
        <f>#REF!</f>
        <v>#REF!</v>
      </c>
      <c r="D1126" s="12"/>
      <c r="E1126" s="85"/>
      <c r="F1126" s="85"/>
      <c r="G1126" s="85"/>
      <c r="H1126" s="16"/>
      <c r="S1126" s="26"/>
      <c r="T1126" s="26"/>
      <c r="U1126" s="26"/>
      <c r="V1126" s="26"/>
      <c r="W1126" s="26"/>
      <c r="X1126" s="26"/>
      <c r="Y1126" s="26"/>
      <c r="Z1126" s="26"/>
      <c r="AA1126" s="26"/>
      <c r="AB1126" s="26"/>
      <c r="AC1126" s="26"/>
      <c r="AD1126" s="26"/>
      <c r="AE1126" s="26"/>
      <c r="AF1126" s="26"/>
      <c r="AG1126" s="26"/>
      <c r="AH1126" s="26"/>
      <c r="AI1126" s="26"/>
      <c r="AJ1126" s="26"/>
      <c r="AK1126" s="26"/>
      <c r="AL1126" s="26"/>
      <c r="AM1126" s="26"/>
      <c r="AN1126" s="26"/>
      <c r="AO1126" s="26"/>
      <c r="AP1126" s="26"/>
      <c r="AQ1126" s="26"/>
      <c r="AR1126" s="26"/>
      <c r="AS1126" s="26"/>
      <c r="AT1126" s="26"/>
      <c r="AU1126" s="26"/>
      <c r="AV1126" s="26"/>
      <c r="AW1126" s="26"/>
      <c r="AX1126" s="26"/>
      <c r="AY1126" s="26"/>
    </row>
    <row r="1127" spans="2:51">
      <c r="B1127" s="53" t="s">
        <v>37</v>
      </c>
      <c r="C1127" s="73" t="e">
        <f>#REF!</f>
        <v>#REF!</v>
      </c>
      <c r="D1127" s="12"/>
      <c r="E1127" s="85"/>
      <c r="F1127" s="85"/>
      <c r="G1127" s="85"/>
      <c r="I1127" s="58"/>
      <c r="S1127" s="26"/>
      <c r="T1127" s="26"/>
      <c r="U1127" s="26"/>
      <c r="V1127" s="26"/>
      <c r="W1127" s="26"/>
      <c r="X1127" s="26"/>
      <c r="Y1127" s="26"/>
      <c r="Z1127" s="26"/>
      <c r="AA1127" s="26"/>
      <c r="AB1127" s="26"/>
      <c r="AC1127" s="26"/>
      <c r="AD1127" s="26"/>
      <c r="AE1127" s="26"/>
      <c r="AF1127" s="26"/>
      <c r="AG1127" s="26"/>
      <c r="AH1127" s="26"/>
      <c r="AI1127" s="26"/>
      <c r="AJ1127" s="26"/>
      <c r="AK1127" s="26"/>
      <c r="AL1127" s="26"/>
      <c r="AM1127" s="26"/>
      <c r="AN1127" s="26"/>
      <c r="AO1127" s="26"/>
      <c r="AP1127" s="26"/>
      <c r="AQ1127" s="26"/>
      <c r="AR1127" s="26"/>
      <c r="AS1127" s="26"/>
      <c r="AT1127" s="26"/>
      <c r="AU1127" s="26"/>
      <c r="AV1127" s="26"/>
      <c r="AW1127" s="26"/>
      <c r="AX1127" s="26"/>
      <c r="AY1127" s="26"/>
    </row>
    <row r="1128" spans="2:51">
      <c r="B1128" s="55" t="s">
        <v>147</v>
      </c>
      <c r="C1128" s="56" t="e">
        <f>SUM(C1117:C1127)</f>
        <v>#REF!</v>
      </c>
      <c r="D1128" s="56" t="e">
        <f>SUM(D1117:D1127)</f>
        <v>#REF!</v>
      </c>
      <c r="E1128" s="50"/>
      <c r="F1128" s="89"/>
      <c r="G1128" s="16"/>
      <c r="I1128" s="58"/>
      <c r="S1128" s="26"/>
      <c r="T1128" s="26"/>
      <c r="U1128" s="26"/>
      <c r="V1128" s="26"/>
      <c r="W1128" s="26"/>
      <c r="X1128" s="26"/>
      <c r="Y1128" s="26"/>
      <c r="Z1128" s="26"/>
      <c r="AA1128" s="26"/>
      <c r="AB1128" s="26"/>
      <c r="AC1128" s="26"/>
      <c r="AD1128" s="26"/>
      <c r="AE1128" s="26"/>
      <c r="AF1128" s="26"/>
      <c r="AG1128" s="26"/>
      <c r="AH1128" s="26"/>
      <c r="AI1128" s="26"/>
      <c r="AJ1128" s="26"/>
      <c r="AK1128" s="26"/>
      <c r="AL1128" s="26"/>
      <c r="AM1128" s="26"/>
      <c r="AN1128" s="26"/>
      <c r="AO1128" s="26"/>
      <c r="AP1128" s="26"/>
      <c r="AQ1128" s="26"/>
      <c r="AR1128" s="26"/>
      <c r="AS1128" s="26"/>
      <c r="AT1128" s="26"/>
      <c r="AU1128" s="26"/>
      <c r="AV1128" s="26"/>
      <c r="AW1128" s="26"/>
      <c r="AX1128" s="26"/>
      <c r="AY1128" s="26"/>
    </row>
    <row r="1129" spans="2:51">
      <c r="S1129" s="26"/>
      <c r="T1129" s="26"/>
      <c r="U1129" s="26"/>
      <c r="V1129" s="26"/>
      <c r="W1129" s="26"/>
      <c r="X1129" s="26"/>
      <c r="Y1129" s="26"/>
      <c r="Z1129" s="26"/>
      <c r="AA1129" s="26"/>
      <c r="AB1129" s="26"/>
      <c r="AC1129" s="26"/>
      <c r="AD1129" s="26"/>
      <c r="AE1129" s="26"/>
      <c r="AF1129" s="26"/>
      <c r="AG1129" s="26"/>
      <c r="AH1129" s="26"/>
      <c r="AI1129" s="26"/>
      <c r="AJ1129" s="26"/>
      <c r="AK1129" s="26"/>
      <c r="AL1129" s="26"/>
      <c r="AM1129" s="26"/>
      <c r="AN1129" s="26"/>
      <c r="AO1129" s="26"/>
      <c r="AP1129" s="26"/>
      <c r="AQ1129" s="26"/>
      <c r="AR1129" s="26"/>
      <c r="AS1129" s="26"/>
      <c r="AT1129" s="26"/>
      <c r="AU1129" s="26"/>
      <c r="AV1129" s="26"/>
      <c r="AW1129" s="26"/>
      <c r="AX1129" s="26"/>
      <c r="AY1129" s="26"/>
    </row>
    <row r="1130" spans="2:51">
      <c r="S1130" s="26"/>
      <c r="T1130" s="26"/>
      <c r="U1130" s="26"/>
      <c r="V1130" s="26"/>
      <c r="W1130" s="26"/>
      <c r="X1130" s="26"/>
      <c r="Y1130" s="26"/>
      <c r="Z1130" s="26"/>
      <c r="AA1130" s="26"/>
      <c r="AB1130" s="26"/>
      <c r="AC1130" s="26"/>
      <c r="AD1130" s="26"/>
      <c r="AE1130" s="26"/>
      <c r="AF1130" s="26"/>
      <c r="AG1130" s="26"/>
      <c r="AH1130" s="26"/>
      <c r="AI1130" s="26"/>
      <c r="AJ1130" s="26"/>
      <c r="AK1130" s="26"/>
      <c r="AL1130" s="26"/>
      <c r="AM1130" s="26"/>
      <c r="AN1130" s="26"/>
      <c r="AO1130" s="26"/>
      <c r="AP1130" s="26"/>
      <c r="AQ1130" s="26"/>
      <c r="AR1130" s="26"/>
      <c r="AS1130" s="26"/>
      <c r="AT1130" s="26"/>
      <c r="AU1130" s="26"/>
      <c r="AV1130" s="26"/>
      <c r="AW1130" s="26"/>
      <c r="AX1130" s="26"/>
      <c r="AY1130" s="26"/>
    </row>
    <row r="1131" spans="2:51">
      <c r="B1131" s="59" t="s">
        <v>227</v>
      </c>
      <c r="S1131" s="26"/>
      <c r="T1131" s="26"/>
      <c r="U1131" s="26"/>
      <c r="V1131" s="26"/>
      <c r="W1131" s="26"/>
      <c r="X1131" s="26"/>
      <c r="Y1131" s="26"/>
      <c r="Z1131" s="26"/>
      <c r="AA1131" s="26"/>
      <c r="AB1131" s="26"/>
      <c r="AC1131" s="26"/>
      <c r="AD1131" s="26"/>
      <c r="AE1131" s="26"/>
      <c r="AF1131" s="26"/>
      <c r="AG1131" s="26"/>
      <c r="AH1131" s="26"/>
      <c r="AI1131" s="26"/>
      <c r="AJ1131" s="26"/>
      <c r="AK1131" s="26"/>
      <c r="AL1131" s="26"/>
      <c r="AM1131" s="26"/>
      <c r="AN1131" s="26"/>
      <c r="AO1131" s="26"/>
      <c r="AP1131" s="26"/>
      <c r="AQ1131" s="26"/>
      <c r="AR1131" s="26"/>
      <c r="AS1131" s="26"/>
      <c r="AT1131" s="26"/>
      <c r="AU1131" s="26"/>
      <c r="AV1131" s="26"/>
      <c r="AW1131" s="26"/>
      <c r="AX1131" s="26"/>
      <c r="AY1131" s="26"/>
    </row>
    <row r="1132" spans="2:51">
      <c r="S1132" s="26"/>
      <c r="T1132" s="26"/>
      <c r="U1132" s="26"/>
      <c r="V1132" s="26"/>
      <c r="W1132" s="26"/>
      <c r="X1132" s="26"/>
      <c r="Y1132" s="26"/>
      <c r="Z1132" s="26"/>
      <c r="AA1132" s="26"/>
      <c r="AB1132" s="26"/>
      <c r="AC1132" s="26"/>
      <c r="AD1132" s="26"/>
      <c r="AE1132" s="26"/>
      <c r="AF1132" s="26"/>
      <c r="AG1132" s="26"/>
      <c r="AH1132" s="26"/>
      <c r="AI1132" s="26"/>
      <c r="AJ1132" s="26"/>
      <c r="AK1132" s="26"/>
      <c r="AL1132" s="26"/>
      <c r="AM1132" s="26"/>
      <c r="AN1132" s="26"/>
      <c r="AO1132" s="26"/>
      <c r="AP1132" s="26"/>
      <c r="AQ1132" s="26"/>
      <c r="AR1132" s="26"/>
      <c r="AS1132" s="26"/>
      <c r="AT1132" s="26"/>
      <c r="AU1132" s="26"/>
      <c r="AV1132" s="26"/>
      <c r="AW1132" s="26"/>
      <c r="AX1132" s="26"/>
      <c r="AY1132" s="26"/>
    </row>
    <row r="1133" spans="2:51">
      <c r="S1133" s="26"/>
      <c r="T1133" s="26"/>
      <c r="U1133" s="26"/>
      <c r="V1133" s="26"/>
      <c r="W1133" s="26"/>
      <c r="X1133" s="26"/>
      <c r="Y1133" s="26"/>
      <c r="Z1133" s="26"/>
      <c r="AA1133" s="26"/>
      <c r="AB1133" s="26"/>
      <c r="AC1133" s="26"/>
      <c r="AD1133" s="26"/>
      <c r="AE1133" s="26"/>
      <c r="AF1133" s="26"/>
      <c r="AG1133" s="26"/>
      <c r="AH1133" s="26"/>
      <c r="AI1133" s="26"/>
      <c r="AJ1133" s="26"/>
      <c r="AK1133" s="26"/>
      <c r="AL1133" s="26"/>
      <c r="AM1133" s="26"/>
      <c r="AN1133" s="26"/>
      <c r="AO1133" s="26"/>
      <c r="AP1133" s="26"/>
      <c r="AQ1133" s="26"/>
      <c r="AR1133" s="26"/>
      <c r="AS1133" s="26"/>
      <c r="AT1133" s="26"/>
      <c r="AU1133" s="26"/>
      <c r="AV1133" s="26"/>
      <c r="AW1133" s="26"/>
      <c r="AX1133" s="26"/>
      <c r="AY1133" s="26"/>
    </row>
    <row r="1134" spans="2:51">
      <c r="S1134" s="26"/>
      <c r="T1134" s="26"/>
      <c r="U1134" s="26"/>
      <c r="V1134" s="26"/>
      <c r="W1134" s="26"/>
      <c r="X1134" s="26"/>
      <c r="Y1134" s="26"/>
      <c r="Z1134" s="26"/>
      <c r="AA1134" s="26"/>
      <c r="AB1134" s="26"/>
      <c r="AC1134" s="26"/>
      <c r="AD1134" s="26"/>
      <c r="AE1134" s="26"/>
      <c r="AF1134" s="26"/>
      <c r="AG1134" s="26"/>
      <c r="AH1134" s="26"/>
      <c r="AI1134" s="26"/>
      <c r="AJ1134" s="26"/>
      <c r="AK1134" s="26"/>
      <c r="AL1134" s="26"/>
      <c r="AM1134" s="26"/>
      <c r="AN1134" s="26"/>
      <c r="AO1134" s="26"/>
      <c r="AP1134" s="26"/>
      <c r="AQ1134" s="26"/>
      <c r="AR1134" s="26"/>
      <c r="AS1134" s="26"/>
      <c r="AT1134" s="26"/>
      <c r="AU1134" s="26"/>
      <c r="AV1134" s="26"/>
      <c r="AW1134" s="26"/>
      <c r="AX1134" s="26"/>
      <c r="AY1134" s="26"/>
    </row>
    <row r="1135" spans="2:51">
      <c r="S1135" s="26"/>
      <c r="T1135" s="26"/>
      <c r="U1135" s="26"/>
      <c r="V1135" s="26"/>
      <c r="W1135" s="26"/>
      <c r="X1135" s="26"/>
      <c r="Y1135" s="26"/>
      <c r="Z1135" s="26"/>
      <c r="AA1135" s="26"/>
      <c r="AB1135" s="26"/>
      <c r="AC1135" s="26"/>
      <c r="AD1135" s="26"/>
      <c r="AE1135" s="26"/>
      <c r="AF1135" s="26"/>
      <c r="AG1135" s="26"/>
      <c r="AH1135" s="26"/>
      <c r="AI1135" s="26"/>
      <c r="AJ1135" s="26"/>
      <c r="AK1135" s="26"/>
      <c r="AL1135" s="26"/>
      <c r="AM1135" s="26"/>
      <c r="AN1135" s="26"/>
      <c r="AO1135" s="26"/>
      <c r="AP1135" s="26"/>
      <c r="AQ1135" s="26"/>
      <c r="AR1135" s="26"/>
      <c r="AS1135" s="26"/>
      <c r="AT1135" s="26"/>
      <c r="AU1135" s="26"/>
      <c r="AV1135" s="26"/>
      <c r="AW1135" s="26"/>
      <c r="AX1135" s="26"/>
      <c r="AY1135" s="26"/>
    </row>
    <row r="1136" spans="2:51">
      <c r="S1136" s="26"/>
      <c r="T1136" s="26"/>
      <c r="U1136" s="26"/>
      <c r="V1136" s="26"/>
      <c r="W1136" s="26"/>
      <c r="X1136" s="26"/>
      <c r="Y1136" s="26"/>
      <c r="Z1136" s="26"/>
      <c r="AA1136" s="26"/>
      <c r="AB1136" s="26"/>
      <c r="AC1136" s="26"/>
      <c r="AD1136" s="26"/>
      <c r="AE1136" s="26"/>
      <c r="AF1136" s="26"/>
      <c r="AG1136" s="26"/>
      <c r="AH1136" s="26"/>
      <c r="AI1136" s="26"/>
      <c r="AJ1136" s="26"/>
      <c r="AK1136" s="26"/>
      <c r="AL1136" s="26"/>
      <c r="AM1136" s="26"/>
      <c r="AN1136" s="26"/>
      <c r="AO1136" s="26"/>
      <c r="AP1136" s="26"/>
      <c r="AQ1136" s="26"/>
      <c r="AR1136" s="26"/>
      <c r="AS1136" s="26"/>
      <c r="AT1136" s="26"/>
      <c r="AU1136" s="26"/>
      <c r="AV1136" s="26"/>
      <c r="AW1136" s="26"/>
      <c r="AX1136" s="26"/>
      <c r="AY1136" s="26"/>
    </row>
    <row r="1137" spans="19:51">
      <c r="S1137" s="26"/>
      <c r="T1137" s="26"/>
      <c r="U1137" s="26"/>
      <c r="V1137" s="26"/>
      <c r="W1137" s="26"/>
      <c r="X1137" s="26"/>
      <c r="Y1137" s="26"/>
      <c r="Z1137" s="26"/>
      <c r="AA1137" s="26"/>
      <c r="AB1137" s="26"/>
      <c r="AC1137" s="26"/>
      <c r="AD1137" s="26"/>
      <c r="AE1137" s="26"/>
      <c r="AF1137" s="26"/>
      <c r="AG1137" s="26"/>
      <c r="AH1137" s="26"/>
      <c r="AI1137" s="26"/>
      <c r="AJ1137" s="26"/>
      <c r="AK1137" s="26"/>
      <c r="AL1137" s="26"/>
      <c r="AM1137" s="26"/>
      <c r="AN1137" s="26"/>
      <c r="AO1137" s="26"/>
      <c r="AP1137" s="26"/>
      <c r="AQ1137" s="26"/>
      <c r="AR1137" s="26"/>
      <c r="AS1137" s="26"/>
      <c r="AT1137" s="26"/>
      <c r="AU1137" s="26"/>
      <c r="AV1137" s="26"/>
      <c r="AW1137" s="26"/>
      <c r="AX1137" s="26"/>
      <c r="AY1137" s="26"/>
    </row>
    <row r="1138" spans="19:51">
      <c r="S1138" s="26"/>
      <c r="T1138" s="26"/>
      <c r="U1138" s="26"/>
      <c r="V1138" s="26"/>
      <c r="W1138" s="26"/>
      <c r="X1138" s="26"/>
      <c r="Y1138" s="26"/>
      <c r="Z1138" s="26"/>
      <c r="AA1138" s="26"/>
      <c r="AB1138" s="26"/>
      <c r="AC1138" s="26"/>
      <c r="AD1138" s="26"/>
      <c r="AE1138" s="26"/>
      <c r="AF1138" s="26"/>
      <c r="AG1138" s="26"/>
      <c r="AH1138" s="26"/>
      <c r="AI1138" s="26"/>
      <c r="AJ1138" s="26"/>
      <c r="AK1138" s="26"/>
      <c r="AL1138" s="26"/>
      <c r="AM1138" s="26"/>
      <c r="AN1138" s="26"/>
      <c r="AO1138" s="26"/>
      <c r="AP1138" s="26"/>
      <c r="AQ1138" s="26"/>
      <c r="AR1138" s="26"/>
      <c r="AS1138" s="26"/>
      <c r="AT1138" s="26"/>
      <c r="AU1138" s="26"/>
      <c r="AV1138" s="26"/>
      <c r="AW1138" s="26"/>
      <c r="AX1138" s="26"/>
      <c r="AY1138" s="26"/>
    </row>
    <row r="1139" spans="19:51">
      <c r="S1139" s="26"/>
      <c r="T1139" s="26"/>
      <c r="U1139" s="26"/>
      <c r="V1139" s="26"/>
      <c r="W1139" s="26"/>
      <c r="X1139" s="26"/>
      <c r="Y1139" s="26"/>
      <c r="Z1139" s="26"/>
      <c r="AA1139" s="26"/>
      <c r="AB1139" s="26"/>
      <c r="AC1139" s="26"/>
      <c r="AD1139" s="26"/>
      <c r="AE1139" s="26"/>
      <c r="AF1139" s="26"/>
      <c r="AG1139" s="26"/>
      <c r="AH1139" s="26"/>
      <c r="AI1139" s="26"/>
      <c r="AJ1139" s="26"/>
      <c r="AK1139" s="26"/>
      <c r="AL1139" s="26"/>
      <c r="AM1139" s="26"/>
      <c r="AN1139" s="26"/>
      <c r="AO1139" s="26"/>
      <c r="AP1139" s="26"/>
      <c r="AQ1139" s="26"/>
      <c r="AR1139" s="26"/>
      <c r="AS1139" s="26"/>
      <c r="AT1139" s="26"/>
      <c r="AU1139" s="26"/>
      <c r="AV1139" s="26"/>
      <c r="AW1139" s="26"/>
      <c r="AX1139" s="26"/>
      <c r="AY1139" s="26"/>
    </row>
    <row r="1140" spans="19:51">
      <c r="S1140" s="26"/>
      <c r="T1140" s="26"/>
      <c r="U1140" s="26"/>
      <c r="V1140" s="26"/>
      <c r="W1140" s="26"/>
      <c r="X1140" s="26"/>
      <c r="Y1140" s="26"/>
      <c r="Z1140" s="26"/>
      <c r="AA1140" s="26"/>
      <c r="AB1140" s="26"/>
      <c r="AC1140" s="26"/>
      <c r="AD1140" s="26"/>
      <c r="AE1140" s="26"/>
      <c r="AF1140" s="26"/>
      <c r="AG1140" s="26"/>
      <c r="AH1140" s="26"/>
      <c r="AI1140" s="26"/>
      <c r="AJ1140" s="26"/>
      <c r="AK1140" s="26"/>
      <c r="AL1140" s="26"/>
      <c r="AM1140" s="26"/>
      <c r="AN1140" s="26"/>
      <c r="AO1140" s="26"/>
      <c r="AP1140" s="26"/>
      <c r="AQ1140" s="26"/>
      <c r="AR1140" s="26"/>
      <c r="AS1140" s="26"/>
      <c r="AT1140" s="26"/>
      <c r="AU1140" s="26"/>
      <c r="AV1140" s="26"/>
      <c r="AW1140" s="26"/>
      <c r="AX1140" s="26"/>
      <c r="AY1140" s="26"/>
    </row>
    <row r="1141" spans="19:51">
      <c r="S1141" s="26"/>
      <c r="T1141" s="26"/>
      <c r="U1141" s="26"/>
      <c r="V1141" s="26"/>
      <c r="W1141" s="26"/>
      <c r="X1141" s="26"/>
      <c r="Y1141" s="26"/>
      <c r="Z1141" s="26"/>
      <c r="AA1141" s="26"/>
      <c r="AB1141" s="26"/>
      <c r="AC1141" s="26"/>
      <c r="AD1141" s="26"/>
      <c r="AE1141" s="26"/>
      <c r="AF1141" s="26"/>
      <c r="AG1141" s="26"/>
      <c r="AH1141" s="26"/>
      <c r="AI1141" s="26"/>
      <c r="AJ1141" s="26"/>
      <c r="AK1141" s="26"/>
      <c r="AL1141" s="26"/>
      <c r="AM1141" s="26"/>
      <c r="AN1141" s="26"/>
      <c r="AO1141" s="26"/>
      <c r="AP1141" s="26"/>
      <c r="AQ1141" s="26"/>
      <c r="AR1141" s="26"/>
      <c r="AS1141" s="26"/>
      <c r="AT1141" s="26"/>
      <c r="AU1141" s="26"/>
      <c r="AV1141" s="26"/>
      <c r="AW1141" s="26"/>
      <c r="AX1141" s="26"/>
      <c r="AY1141" s="26"/>
    </row>
    <row r="1142" spans="19:51">
      <c r="S1142" s="26"/>
      <c r="T1142" s="26"/>
      <c r="U1142" s="26"/>
      <c r="V1142" s="26"/>
      <c r="W1142" s="26"/>
      <c r="X1142" s="26"/>
      <c r="Y1142" s="26"/>
      <c r="Z1142" s="26"/>
      <c r="AA1142" s="26"/>
      <c r="AB1142" s="26"/>
      <c r="AC1142" s="26"/>
      <c r="AD1142" s="26"/>
      <c r="AE1142" s="26"/>
      <c r="AF1142" s="26"/>
      <c r="AG1142" s="26"/>
      <c r="AH1142" s="26"/>
      <c r="AI1142" s="26"/>
      <c r="AJ1142" s="26"/>
      <c r="AK1142" s="26"/>
      <c r="AL1142" s="26"/>
      <c r="AM1142" s="26"/>
      <c r="AN1142" s="26"/>
      <c r="AO1142" s="26"/>
      <c r="AP1142" s="26"/>
      <c r="AQ1142" s="26"/>
      <c r="AR1142" s="26"/>
      <c r="AS1142" s="26"/>
      <c r="AT1142" s="26"/>
      <c r="AU1142" s="26"/>
      <c r="AV1142" s="26"/>
      <c r="AW1142" s="26"/>
      <c r="AX1142" s="26"/>
      <c r="AY1142" s="26"/>
    </row>
    <row r="1143" spans="19:51">
      <c r="S1143" s="26"/>
      <c r="T1143" s="26"/>
      <c r="U1143" s="26"/>
      <c r="V1143" s="26"/>
      <c r="W1143" s="26"/>
      <c r="X1143" s="26"/>
      <c r="Y1143" s="26"/>
      <c r="Z1143" s="26"/>
      <c r="AA1143" s="26"/>
      <c r="AB1143" s="26"/>
      <c r="AC1143" s="26"/>
      <c r="AD1143" s="26"/>
      <c r="AE1143" s="26"/>
      <c r="AF1143" s="26"/>
      <c r="AG1143" s="26"/>
      <c r="AH1143" s="26"/>
      <c r="AI1143" s="26"/>
      <c r="AJ1143" s="26"/>
      <c r="AK1143" s="26"/>
      <c r="AL1143" s="26"/>
      <c r="AM1143" s="26"/>
      <c r="AN1143" s="26"/>
      <c r="AO1143" s="26"/>
      <c r="AP1143" s="26"/>
      <c r="AQ1143" s="26"/>
      <c r="AR1143" s="26"/>
      <c r="AS1143" s="26"/>
      <c r="AT1143" s="26"/>
      <c r="AU1143" s="26"/>
      <c r="AV1143" s="26"/>
      <c r="AW1143" s="26"/>
      <c r="AX1143" s="26"/>
      <c r="AY1143" s="26"/>
    </row>
    <row r="1144" spans="19:51">
      <c r="S1144" s="26"/>
      <c r="T1144" s="26"/>
      <c r="U1144" s="26"/>
      <c r="V1144" s="26"/>
      <c r="W1144" s="26"/>
      <c r="X1144" s="26"/>
      <c r="Y1144" s="26"/>
      <c r="Z1144" s="26"/>
      <c r="AA1144" s="26"/>
      <c r="AB1144" s="26"/>
      <c r="AC1144" s="26"/>
      <c r="AD1144" s="26"/>
      <c r="AE1144" s="26"/>
      <c r="AF1144" s="26"/>
      <c r="AG1144" s="26"/>
      <c r="AH1144" s="26"/>
      <c r="AI1144" s="26"/>
      <c r="AJ1144" s="26"/>
      <c r="AK1144" s="26"/>
      <c r="AL1144" s="26"/>
      <c r="AM1144" s="26"/>
      <c r="AN1144" s="26"/>
      <c r="AO1144" s="26"/>
      <c r="AP1144" s="26"/>
      <c r="AQ1144" s="26"/>
      <c r="AR1144" s="26"/>
      <c r="AS1144" s="26"/>
      <c r="AT1144" s="26"/>
      <c r="AU1144" s="26"/>
      <c r="AV1144" s="26"/>
      <c r="AW1144" s="26"/>
      <c r="AX1144" s="26"/>
      <c r="AY1144" s="26"/>
    </row>
    <row r="1145" spans="19:51">
      <c r="S1145" s="26"/>
      <c r="T1145" s="26"/>
      <c r="U1145" s="26"/>
      <c r="V1145" s="26"/>
      <c r="W1145" s="26"/>
      <c r="X1145" s="26"/>
      <c r="Y1145" s="26"/>
      <c r="Z1145" s="26"/>
      <c r="AA1145" s="26"/>
      <c r="AB1145" s="26"/>
      <c r="AC1145" s="26"/>
      <c r="AD1145" s="26"/>
      <c r="AE1145" s="26"/>
      <c r="AF1145" s="26"/>
      <c r="AG1145" s="26"/>
      <c r="AH1145" s="26"/>
      <c r="AI1145" s="26"/>
      <c r="AJ1145" s="26"/>
      <c r="AK1145" s="26"/>
      <c r="AL1145" s="26"/>
      <c r="AM1145" s="26"/>
      <c r="AN1145" s="26"/>
      <c r="AO1145" s="26"/>
      <c r="AP1145" s="26"/>
      <c r="AQ1145" s="26"/>
      <c r="AR1145" s="26"/>
      <c r="AS1145" s="26"/>
      <c r="AT1145" s="26"/>
      <c r="AU1145" s="26"/>
      <c r="AV1145" s="26"/>
      <c r="AW1145" s="26"/>
      <c r="AX1145" s="26"/>
      <c r="AY1145" s="26"/>
    </row>
    <row r="1146" spans="19:51">
      <c r="S1146" s="26"/>
      <c r="T1146" s="26"/>
      <c r="U1146" s="26"/>
      <c r="V1146" s="26"/>
      <c r="W1146" s="26"/>
      <c r="X1146" s="26"/>
      <c r="Y1146" s="26"/>
      <c r="Z1146" s="26"/>
      <c r="AA1146" s="26"/>
      <c r="AB1146" s="26"/>
      <c r="AC1146" s="26"/>
      <c r="AD1146" s="26"/>
      <c r="AE1146" s="26"/>
      <c r="AF1146" s="26"/>
      <c r="AG1146" s="26"/>
      <c r="AH1146" s="26"/>
      <c r="AI1146" s="26"/>
      <c r="AJ1146" s="26"/>
      <c r="AK1146" s="26"/>
      <c r="AL1146" s="26"/>
      <c r="AM1146" s="26"/>
      <c r="AN1146" s="26"/>
      <c r="AO1146" s="26"/>
      <c r="AP1146" s="26"/>
      <c r="AQ1146" s="26"/>
      <c r="AR1146" s="26"/>
      <c r="AS1146" s="26"/>
      <c r="AT1146" s="26"/>
      <c r="AU1146" s="26"/>
      <c r="AV1146" s="26"/>
      <c r="AW1146" s="26"/>
      <c r="AX1146" s="26"/>
      <c r="AY1146" s="26"/>
    </row>
    <row r="1147" spans="19:51">
      <c r="S1147" s="26"/>
      <c r="T1147" s="26"/>
      <c r="U1147" s="26"/>
      <c r="V1147" s="26"/>
      <c r="W1147" s="26"/>
      <c r="X1147" s="26"/>
      <c r="Y1147" s="26"/>
      <c r="Z1147" s="26"/>
      <c r="AA1147" s="26"/>
      <c r="AB1147" s="26"/>
      <c r="AC1147" s="26"/>
      <c r="AD1147" s="26"/>
      <c r="AE1147" s="26"/>
      <c r="AF1147" s="26"/>
      <c r="AG1147" s="26"/>
      <c r="AH1147" s="26"/>
      <c r="AI1147" s="26"/>
      <c r="AJ1147" s="26"/>
      <c r="AK1147" s="26"/>
      <c r="AL1147" s="26"/>
      <c r="AM1147" s="26"/>
      <c r="AN1147" s="26"/>
      <c r="AO1147" s="26"/>
      <c r="AP1147" s="26"/>
      <c r="AQ1147" s="26"/>
      <c r="AR1147" s="26"/>
      <c r="AS1147" s="26"/>
      <c r="AT1147" s="26"/>
      <c r="AU1147" s="26"/>
      <c r="AV1147" s="26"/>
      <c r="AW1147" s="26"/>
      <c r="AX1147" s="26"/>
      <c r="AY1147" s="26"/>
    </row>
    <row r="1148" spans="19:51">
      <c r="S1148" s="26"/>
      <c r="T1148" s="26"/>
      <c r="U1148" s="26"/>
      <c r="V1148" s="26"/>
      <c r="W1148" s="26"/>
      <c r="X1148" s="26"/>
      <c r="Y1148" s="26"/>
      <c r="Z1148" s="26"/>
      <c r="AA1148" s="26"/>
      <c r="AB1148" s="26"/>
      <c r="AC1148" s="26"/>
      <c r="AD1148" s="26"/>
      <c r="AE1148" s="26"/>
      <c r="AF1148" s="26"/>
      <c r="AG1148" s="26"/>
      <c r="AH1148" s="26"/>
      <c r="AI1148" s="26"/>
      <c r="AJ1148" s="26"/>
      <c r="AK1148" s="26"/>
      <c r="AL1148" s="26"/>
      <c r="AM1148" s="26"/>
      <c r="AN1148" s="26"/>
      <c r="AO1148" s="26"/>
      <c r="AP1148" s="26"/>
      <c r="AQ1148" s="26"/>
      <c r="AR1148" s="26"/>
      <c r="AS1148" s="26"/>
      <c r="AT1148" s="26"/>
      <c r="AU1148" s="26"/>
      <c r="AV1148" s="26"/>
      <c r="AW1148" s="26"/>
      <c r="AX1148" s="26"/>
      <c r="AY1148" s="26"/>
    </row>
    <row r="1149" spans="19:51">
      <c r="S1149" s="26"/>
      <c r="T1149" s="26"/>
      <c r="U1149" s="26"/>
      <c r="V1149" s="26"/>
      <c r="W1149" s="26"/>
      <c r="X1149" s="26"/>
      <c r="Y1149" s="26"/>
      <c r="Z1149" s="26"/>
      <c r="AA1149" s="26"/>
      <c r="AB1149" s="26"/>
      <c r="AC1149" s="26"/>
      <c r="AD1149" s="26"/>
      <c r="AE1149" s="26"/>
      <c r="AF1149" s="26"/>
      <c r="AG1149" s="26"/>
      <c r="AH1149" s="26"/>
      <c r="AI1149" s="26"/>
      <c r="AJ1149" s="26"/>
      <c r="AK1149" s="26"/>
      <c r="AL1149" s="26"/>
      <c r="AM1149" s="26"/>
      <c r="AN1149" s="26"/>
      <c r="AO1149" s="26"/>
      <c r="AP1149" s="26"/>
      <c r="AQ1149" s="26"/>
      <c r="AR1149" s="26"/>
      <c r="AS1149" s="26"/>
      <c r="AT1149" s="26"/>
      <c r="AU1149" s="26"/>
      <c r="AV1149" s="26"/>
      <c r="AW1149" s="26"/>
      <c r="AX1149" s="26"/>
      <c r="AY1149" s="26"/>
    </row>
    <row r="1150" spans="19:51">
      <c r="S1150" s="26"/>
      <c r="T1150" s="26"/>
      <c r="U1150" s="26"/>
      <c r="V1150" s="26"/>
      <c r="W1150" s="26"/>
      <c r="X1150" s="26"/>
      <c r="Y1150" s="26"/>
      <c r="Z1150" s="26"/>
      <c r="AA1150" s="26"/>
      <c r="AB1150" s="26"/>
      <c r="AC1150" s="26"/>
      <c r="AD1150" s="26"/>
      <c r="AE1150" s="26"/>
      <c r="AF1150" s="26"/>
      <c r="AG1150" s="26"/>
      <c r="AH1150" s="26"/>
      <c r="AI1150" s="26"/>
      <c r="AJ1150" s="26"/>
      <c r="AK1150" s="26"/>
      <c r="AL1150" s="26"/>
      <c r="AM1150" s="26"/>
      <c r="AN1150" s="26"/>
      <c r="AO1150" s="26"/>
      <c r="AP1150" s="26"/>
      <c r="AQ1150" s="26"/>
      <c r="AR1150" s="26"/>
      <c r="AS1150" s="26"/>
      <c r="AT1150" s="26"/>
      <c r="AU1150" s="26"/>
      <c r="AV1150" s="26"/>
      <c r="AW1150" s="26"/>
      <c r="AX1150" s="26"/>
      <c r="AY1150" s="26"/>
    </row>
    <row r="1151" spans="19:51">
      <c r="S1151" s="26"/>
      <c r="T1151" s="26"/>
      <c r="U1151" s="26"/>
      <c r="V1151" s="26"/>
      <c r="W1151" s="26"/>
      <c r="X1151" s="26"/>
      <c r="Y1151" s="26"/>
      <c r="Z1151" s="26"/>
      <c r="AA1151" s="26"/>
      <c r="AB1151" s="26"/>
      <c r="AC1151" s="26"/>
      <c r="AD1151" s="26"/>
      <c r="AE1151" s="26"/>
      <c r="AF1151" s="26"/>
      <c r="AG1151" s="26"/>
      <c r="AH1151" s="26"/>
      <c r="AI1151" s="26"/>
      <c r="AJ1151" s="26"/>
      <c r="AK1151" s="26"/>
      <c r="AL1151" s="26"/>
      <c r="AM1151" s="26"/>
      <c r="AN1151" s="26"/>
      <c r="AO1151" s="26"/>
      <c r="AP1151" s="26"/>
      <c r="AQ1151" s="26"/>
      <c r="AR1151" s="26"/>
      <c r="AS1151" s="26"/>
      <c r="AT1151" s="26"/>
      <c r="AU1151" s="26"/>
      <c r="AV1151" s="26"/>
      <c r="AW1151" s="26"/>
      <c r="AX1151" s="26"/>
      <c r="AY1151" s="26"/>
    </row>
    <row r="1152" spans="19:51">
      <c r="S1152" s="26"/>
      <c r="T1152" s="26"/>
      <c r="U1152" s="26"/>
      <c r="V1152" s="26"/>
      <c r="W1152" s="26"/>
      <c r="X1152" s="26"/>
      <c r="Y1152" s="26"/>
      <c r="Z1152" s="26"/>
      <c r="AA1152" s="26"/>
      <c r="AB1152" s="26"/>
      <c r="AC1152" s="26"/>
      <c r="AD1152" s="26"/>
      <c r="AE1152" s="26"/>
      <c r="AF1152" s="26"/>
      <c r="AG1152" s="26"/>
      <c r="AH1152" s="26"/>
      <c r="AI1152" s="26"/>
      <c r="AJ1152" s="26"/>
      <c r="AK1152" s="26"/>
      <c r="AL1152" s="26"/>
      <c r="AM1152" s="26"/>
      <c r="AN1152" s="26"/>
      <c r="AO1152" s="26"/>
      <c r="AP1152" s="26"/>
      <c r="AQ1152" s="26"/>
      <c r="AR1152" s="26"/>
      <c r="AS1152" s="26"/>
      <c r="AT1152" s="26"/>
      <c r="AU1152" s="26"/>
      <c r="AV1152" s="26"/>
      <c r="AW1152" s="26"/>
      <c r="AX1152" s="26"/>
      <c r="AY1152" s="26"/>
    </row>
    <row r="1153" spans="2:51">
      <c r="S1153" s="26"/>
      <c r="T1153" s="26"/>
      <c r="U1153" s="26"/>
      <c r="V1153" s="26"/>
      <c r="W1153" s="26"/>
      <c r="X1153" s="26"/>
      <c r="Y1153" s="26"/>
      <c r="Z1153" s="26"/>
      <c r="AA1153" s="26"/>
      <c r="AB1153" s="26"/>
      <c r="AC1153" s="26"/>
      <c r="AD1153" s="26"/>
      <c r="AE1153" s="26"/>
      <c r="AF1153" s="26"/>
      <c r="AG1153" s="26"/>
      <c r="AH1153" s="26"/>
      <c r="AI1153" s="26"/>
      <c r="AJ1153" s="26"/>
      <c r="AK1153" s="26"/>
      <c r="AL1153" s="26"/>
      <c r="AM1153" s="26"/>
      <c r="AN1153" s="26"/>
      <c r="AO1153" s="26"/>
      <c r="AP1153" s="26"/>
      <c r="AQ1153" s="26"/>
      <c r="AR1153" s="26"/>
      <c r="AS1153" s="26"/>
      <c r="AT1153" s="26"/>
      <c r="AU1153" s="26"/>
      <c r="AV1153" s="26"/>
      <c r="AW1153" s="26"/>
      <c r="AX1153" s="26"/>
      <c r="AY1153" s="26"/>
    </row>
    <row r="1154" spans="2:51">
      <c r="S1154" s="26"/>
      <c r="T1154" s="26"/>
      <c r="U1154" s="26"/>
      <c r="V1154" s="26"/>
      <c r="W1154" s="26"/>
      <c r="X1154" s="26"/>
      <c r="Y1154" s="26"/>
      <c r="Z1154" s="26"/>
      <c r="AA1154" s="26"/>
      <c r="AB1154" s="26"/>
      <c r="AC1154" s="26"/>
      <c r="AD1154" s="26"/>
      <c r="AE1154" s="26"/>
      <c r="AF1154" s="26"/>
      <c r="AG1154" s="26"/>
      <c r="AH1154" s="26"/>
      <c r="AI1154" s="26"/>
      <c r="AJ1154" s="26"/>
      <c r="AK1154" s="26"/>
      <c r="AL1154" s="26"/>
      <c r="AM1154" s="26"/>
      <c r="AN1154" s="26"/>
      <c r="AO1154" s="26"/>
      <c r="AP1154" s="26"/>
      <c r="AQ1154" s="26"/>
      <c r="AR1154" s="26"/>
      <c r="AS1154" s="26"/>
      <c r="AT1154" s="26"/>
      <c r="AU1154" s="26"/>
      <c r="AV1154" s="26"/>
      <c r="AW1154" s="26"/>
      <c r="AX1154" s="26"/>
      <c r="AY1154" s="26"/>
    </row>
    <row r="1155" spans="2:51">
      <c r="S1155" s="26"/>
      <c r="T1155" s="26"/>
      <c r="U1155" s="26"/>
      <c r="V1155" s="26"/>
      <c r="W1155" s="26"/>
      <c r="X1155" s="26"/>
      <c r="Y1155" s="26"/>
      <c r="Z1155" s="26"/>
      <c r="AA1155" s="26"/>
      <c r="AB1155" s="26"/>
      <c r="AC1155" s="26"/>
      <c r="AD1155" s="26"/>
      <c r="AE1155" s="26"/>
      <c r="AF1155" s="26"/>
      <c r="AG1155" s="26"/>
      <c r="AH1155" s="26"/>
      <c r="AI1155" s="26"/>
      <c r="AJ1155" s="26"/>
      <c r="AK1155" s="26"/>
      <c r="AL1155" s="26"/>
      <c r="AM1155" s="26"/>
      <c r="AN1155" s="26"/>
      <c r="AO1155" s="26"/>
      <c r="AP1155" s="26"/>
      <c r="AQ1155" s="26"/>
      <c r="AR1155" s="26"/>
      <c r="AS1155" s="26"/>
      <c r="AT1155" s="26"/>
      <c r="AU1155" s="26"/>
      <c r="AV1155" s="26"/>
      <c r="AW1155" s="26"/>
      <c r="AX1155" s="26"/>
      <c r="AY1155" s="26"/>
    </row>
    <row r="1156" spans="2:51">
      <c r="S1156" s="26"/>
      <c r="T1156" s="26"/>
      <c r="U1156" s="26"/>
      <c r="V1156" s="26"/>
      <c r="W1156" s="26"/>
      <c r="X1156" s="26"/>
      <c r="Y1156" s="26"/>
      <c r="Z1156" s="26"/>
      <c r="AA1156" s="26"/>
      <c r="AB1156" s="26"/>
      <c r="AC1156" s="26"/>
      <c r="AD1156" s="26"/>
      <c r="AE1156" s="26"/>
      <c r="AF1156" s="26"/>
      <c r="AG1156" s="26"/>
      <c r="AH1156" s="26"/>
      <c r="AI1156" s="26"/>
      <c r="AJ1156" s="26"/>
      <c r="AK1156" s="26"/>
      <c r="AL1156" s="26"/>
      <c r="AM1156" s="26"/>
      <c r="AN1156" s="26"/>
      <c r="AO1156" s="26"/>
      <c r="AP1156" s="26"/>
      <c r="AQ1156" s="26"/>
      <c r="AR1156" s="26"/>
      <c r="AS1156" s="26"/>
      <c r="AT1156" s="26"/>
      <c r="AU1156" s="26"/>
      <c r="AV1156" s="26"/>
      <c r="AW1156" s="26"/>
      <c r="AX1156" s="26"/>
      <c r="AY1156" s="26"/>
    </row>
    <row r="1157" spans="2:51">
      <c r="S1157" s="26"/>
      <c r="T1157" s="26"/>
      <c r="U1157" s="26"/>
      <c r="V1157" s="26"/>
      <c r="W1157" s="26"/>
      <c r="X1157" s="26"/>
      <c r="Y1157" s="26"/>
      <c r="Z1157" s="26"/>
      <c r="AA1157" s="26"/>
      <c r="AB1157" s="26"/>
      <c r="AC1157" s="26"/>
      <c r="AD1157" s="26"/>
      <c r="AE1157" s="26"/>
      <c r="AF1157" s="26"/>
      <c r="AG1157" s="26"/>
      <c r="AH1157" s="26"/>
      <c r="AI1157" s="26"/>
      <c r="AJ1157" s="26"/>
      <c r="AK1157" s="26"/>
      <c r="AL1157" s="26"/>
      <c r="AM1157" s="26"/>
      <c r="AN1157" s="26"/>
      <c r="AO1157" s="26"/>
      <c r="AP1157" s="26"/>
      <c r="AQ1157" s="26"/>
      <c r="AR1157" s="26"/>
      <c r="AS1157" s="26"/>
      <c r="AT1157" s="26"/>
      <c r="AU1157" s="26"/>
      <c r="AV1157" s="26"/>
      <c r="AW1157" s="26"/>
      <c r="AX1157" s="26"/>
      <c r="AY1157" s="26"/>
    </row>
    <row r="1158" spans="2:51">
      <c r="C1158" s="60"/>
      <c r="D1158" s="60"/>
      <c r="H1158" s="16"/>
      <c r="I1158" s="16"/>
      <c r="J1158" s="16"/>
      <c r="K1158" s="16"/>
      <c r="L1158" s="16"/>
      <c r="M1158" s="16"/>
      <c r="N1158" s="16"/>
      <c r="O1158" s="16"/>
      <c r="S1158" s="26"/>
      <c r="T1158" s="38"/>
      <c r="U1158" s="38"/>
      <c r="V1158" s="38"/>
      <c r="W1158" s="26"/>
      <c r="X1158" s="26"/>
      <c r="Y1158" s="26"/>
      <c r="Z1158" s="26"/>
      <c r="AA1158" s="26"/>
      <c r="AB1158" s="26"/>
      <c r="AC1158" s="26"/>
      <c r="AD1158" s="26"/>
      <c r="AE1158" s="26"/>
      <c r="AF1158" s="26"/>
      <c r="AG1158" s="26"/>
      <c r="AH1158" s="26"/>
      <c r="AI1158" s="26"/>
      <c r="AJ1158" s="26"/>
      <c r="AK1158" s="26"/>
      <c r="AL1158" s="26"/>
      <c r="AM1158" s="26"/>
      <c r="AN1158" s="26"/>
      <c r="AO1158" s="26"/>
      <c r="AP1158" s="26"/>
      <c r="AQ1158" s="26"/>
      <c r="AR1158" s="26"/>
      <c r="AS1158" s="26"/>
      <c r="AT1158" s="26"/>
      <c r="AU1158" s="26"/>
      <c r="AV1158" s="26"/>
      <c r="AW1158" s="26"/>
      <c r="AX1158" s="26"/>
      <c r="AY1158" s="26"/>
    </row>
    <row r="1159" spans="2:51">
      <c r="C1159" s="60"/>
      <c r="D1159" s="60"/>
      <c r="S1159" s="26"/>
      <c r="T1159" s="26"/>
      <c r="U1159" s="26"/>
      <c r="V1159" s="26"/>
      <c r="W1159" s="26"/>
      <c r="X1159" s="26"/>
      <c r="Y1159" s="26"/>
      <c r="Z1159" s="26"/>
      <c r="AA1159" s="26"/>
      <c r="AB1159" s="26"/>
      <c r="AC1159" s="26"/>
      <c r="AD1159" s="26"/>
      <c r="AE1159" s="26"/>
      <c r="AF1159" s="26"/>
      <c r="AG1159" s="26"/>
      <c r="AH1159" s="26"/>
      <c r="AI1159" s="26"/>
      <c r="AJ1159" s="26"/>
      <c r="AK1159" s="26"/>
      <c r="AL1159" s="26"/>
      <c r="AM1159" s="26"/>
      <c r="AN1159" s="26"/>
      <c r="AO1159" s="26"/>
      <c r="AP1159" s="26"/>
      <c r="AQ1159" s="26"/>
      <c r="AR1159" s="26"/>
      <c r="AS1159" s="26"/>
      <c r="AT1159" s="26"/>
      <c r="AU1159" s="26"/>
      <c r="AV1159" s="26"/>
      <c r="AW1159" s="26"/>
      <c r="AX1159" s="26"/>
      <c r="AY1159" s="26"/>
    </row>
    <row r="1160" spans="2:51">
      <c r="E1160" s="16"/>
      <c r="F1160" s="16"/>
      <c r="G1160" s="16"/>
      <c r="S1160" s="26"/>
      <c r="T1160" s="26"/>
      <c r="U1160" s="26"/>
      <c r="V1160" s="26"/>
      <c r="W1160" s="26"/>
      <c r="X1160" s="26"/>
      <c r="Y1160" s="26"/>
      <c r="Z1160" s="26"/>
      <c r="AA1160" s="26"/>
      <c r="AB1160" s="26"/>
      <c r="AC1160" s="26"/>
      <c r="AD1160" s="26"/>
      <c r="AE1160" s="26"/>
      <c r="AF1160" s="26"/>
      <c r="AG1160" s="26"/>
      <c r="AH1160" s="26"/>
      <c r="AI1160" s="26"/>
      <c r="AJ1160" s="26"/>
      <c r="AK1160" s="26"/>
      <c r="AL1160" s="26"/>
      <c r="AM1160" s="26"/>
      <c r="AN1160" s="26"/>
      <c r="AO1160" s="26"/>
      <c r="AP1160" s="26"/>
      <c r="AQ1160" s="26"/>
      <c r="AR1160" s="26"/>
      <c r="AS1160" s="26"/>
      <c r="AT1160" s="26"/>
      <c r="AU1160" s="26"/>
      <c r="AV1160" s="26"/>
      <c r="AW1160" s="26"/>
      <c r="AX1160" s="26"/>
      <c r="AY1160" s="26"/>
    </row>
    <row r="1161" spans="2:51">
      <c r="B1161" s="30" t="s">
        <v>228</v>
      </c>
      <c r="C1161" s="37" t="s">
        <v>129</v>
      </c>
      <c r="D1161" s="37" t="s">
        <v>129</v>
      </c>
      <c r="S1161" s="26"/>
      <c r="T1161" s="26"/>
      <c r="U1161" s="26"/>
      <c r="V1161" s="26"/>
      <c r="W1161" s="26"/>
      <c r="X1161" s="26"/>
      <c r="Y1161" s="26"/>
      <c r="Z1161" s="26"/>
      <c r="AA1161" s="26"/>
      <c r="AB1161" s="26"/>
      <c r="AC1161" s="26"/>
      <c r="AD1161" s="26"/>
      <c r="AE1161" s="26"/>
      <c r="AF1161" s="26"/>
      <c r="AG1161" s="26"/>
      <c r="AH1161" s="26"/>
      <c r="AI1161" s="26"/>
      <c r="AJ1161" s="26"/>
      <c r="AK1161" s="26"/>
      <c r="AL1161" s="26"/>
      <c r="AM1161" s="26"/>
      <c r="AN1161" s="26"/>
      <c r="AO1161" s="26"/>
      <c r="AP1161" s="26"/>
      <c r="AQ1161" s="26"/>
      <c r="AR1161" s="26"/>
      <c r="AS1161" s="26"/>
      <c r="AT1161" s="26"/>
      <c r="AU1161" s="26"/>
      <c r="AV1161" s="26"/>
      <c r="AW1161" s="26"/>
      <c r="AX1161" s="26"/>
      <c r="AY1161" s="26"/>
    </row>
    <row r="1162" spans="2:51">
      <c r="B1162" s="14"/>
      <c r="C1162" s="30" t="s">
        <v>191</v>
      </c>
      <c r="D1162" s="30" t="s">
        <v>192</v>
      </c>
      <c r="S1162" s="26"/>
      <c r="T1162" s="26"/>
      <c r="U1162" s="26"/>
      <c r="V1162" s="26"/>
      <c r="W1162" s="26"/>
      <c r="X1162" s="26"/>
      <c r="Y1162" s="26"/>
      <c r="Z1162" s="26"/>
      <c r="AA1162" s="26"/>
      <c r="AB1162" s="26"/>
      <c r="AC1162" s="26"/>
      <c r="AD1162" s="26"/>
      <c r="AE1162" s="26"/>
      <c r="AF1162" s="26"/>
      <c r="AG1162" s="26"/>
      <c r="AH1162" s="26"/>
      <c r="AI1162" s="26"/>
      <c r="AJ1162" s="26"/>
      <c r="AK1162" s="26"/>
      <c r="AL1162" s="26"/>
      <c r="AM1162" s="26"/>
      <c r="AN1162" s="26"/>
      <c r="AO1162" s="26"/>
      <c r="AP1162" s="26"/>
      <c r="AQ1162" s="26"/>
      <c r="AR1162" s="26"/>
      <c r="AS1162" s="26"/>
      <c r="AT1162" s="26"/>
      <c r="AU1162" s="26"/>
      <c r="AV1162" s="26"/>
      <c r="AW1162" s="26"/>
      <c r="AX1162" s="26"/>
      <c r="AY1162" s="26"/>
    </row>
    <row r="1163" spans="2:51">
      <c r="B1163" s="32" t="s">
        <v>192</v>
      </c>
      <c r="C1163" s="12"/>
      <c r="D1163" s="12" t="e">
        <f>SUM(#REF!)</f>
        <v>#REF!</v>
      </c>
      <c r="S1163" s="26"/>
      <c r="T1163" s="26"/>
      <c r="U1163" s="26"/>
      <c r="V1163" s="26"/>
      <c r="W1163" s="26"/>
      <c r="X1163" s="26"/>
      <c r="Y1163" s="26"/>
      <c r="Z1163" s="26"/>
      <c r="AA1163" s="26"/>
      <c r="AB1163" s="26"/>
      <c r="AC1163" s="26"/>
      <c r="AD1163" s="26"/>
      <c r="AE1163" s="26"/>
      <c r="AF1163" s="26"/>
      <c r="AG1163" s="26"/>
      <c r="AH1163" s="26"/>
      <c r="AI1163" s="26"/>
      <c r="AJ1163" s="26"/>
      <c r="AK1163" s="26"/>
      <c r="AL1163" s="26"/>
      <c r="AM1163" s="26"/>
      <c r="AN1163" s="26"/>
      <c r="AO1163" s="26"/>
      <c r="AP1163" s="26"/>
      <c r="AQ1163" s="26"/>
      <c r="AR1163" s="26"/>
      <c r="AS1163" s="26"/>
      <c r="AT1163" s="26"/>
      <c r="AU1163" s="26"/>
      <c r="AV1163" s="26"/>
      <c r="AW1163" s="26"/>
      <c r="AX1163" s="26"/>
      <c r="AY1163" s="26"/>
    </row>
    <row r="1164" spans="2:51">
      <c r="B1164" s="32" t="s">
        <v>194</v>
      </c>
      <c r="C1164" s="12"/>
      <c r="D1164" s="12" t="e">
        <f>-(#REF!+#REF!)-(#REF!+#REF!)-(#REF!+#REF!)-(#REF!+#REF!)-(#REF!+#REF!)-(#REF!+#REF!)</f>
        <v>#REF!</v>
      </c>
      <c r="S1164" s="26"/>
      <c r="T1164" s="26"/>
      <c r="U1164" s="26"/>
      <c r="V1164" s="26"/>
      <c r="W1164" s="26"/>
      <c r="X1164" s="26"/>
      <c r="Y1164" s="26"/>
      <c r="Z1164" s="26"/>
      <c r="AA1164" s="26"/>
      <c r="AB1164" s="26"/>
      <c r="AC1164" s="26"/>
      <c r="AD1164" s="26"/>
      <c r="AE1164" s="26"/>
      <c r="AF1164" s="26"/>
      <c r="AG1164" s="26"/>
      <c r="AH1164" s="26"/>
      <c r="AI1164" s="26"/>
      <c r="AJ1164" s="26"/>
      <c r="AK1164" s="26"/>
      <c r="AL1164" s="26"/>
      <c r="AM1164" s="26"/>
      <c r="AN1164" s="26"/>
      <c r="AO1164" s="26"/>
      <c r="AP1164" s="26"/>
      <c r="AQ1164" s="26"/>
      <c r="AR1164" s="26"/>
      <c r="AS1164" s="26"/>
      <c r="AT1164" s="26"/>
      <c r="AU1164" s="26"/>
      <c r="AV1164" s="26"/>
      <c r="AW1164" s="26"/>
      <c r="AX1164" s="26"/>
      <c r="AY1164" s="26"/>
    </row>
    <row r="1165" spans="2:51">
      <c r="B1165" s="95" t="s">
        <v>212</v>
      </c>
      <c r="C1165" s="83"/>
      <c r="D1165" s="84" t="e">
        <f>(-#REF!)</f>
        <v>#REF!</v>
      </c>
      <c r="S1165" s="26"/>
      <c r="T1165" s="26"/>
      <c r="U1165" s="26"/>
      <c r="V1165" s="26"/>
      <c r="W1165" s="26"/>
      <c r="X1165" s="26"/>
      <c r="Y1165" s="26"/>
      <c r="Z1165" s="26"/>
      <c r="AA1165" s="26"/>
      <c r="AB1165" s="26"/>
      <c r="AC1165" s="26"/>
      <c r="AD1165" s="26"/>
      <c r="AE1165" s="26"/>
      <c r="AF1165" s="26"/>
      <c r="AG1165" s="26"/>
      <c r="AH1165" s="26"/>
      <c r="AI1165" s="26"/>
      <c r="AJ1165" s="26"/>
      <c r="AK1165" s="26"/>
      <c r="AL1165" s="26"/>
      <c r="AM1165" s="26"/>
      <c r="AN1165" s="26"/>
      <c r="AO1165" s="26"/>
      <c r="AP1165" s="26"/>
      <c r="AQ1165" s="26"/>
      <c r="AR1165" s="26"/>
      <c r="AS1165" s="26"/>
      <c r="AT1165" s="26"/>
      <c r="AU1165" s="26"/>
      <c r="AV1165" s="26"/>
      <c r="AW1165" s="26"/>
      <c r="AX1165" s="26"/>
      <c r="AY1165" s="26"/>
    </row>
    <row r="1166" spans="2:51">
      <c r="B1166" s="32"/>
      <c r="C1166" s="12"/>
      <c r="D1166" s="12"/>
      <c r="J1166" s="16"/>
      <c r="S1166" s="26"/>
      <c r="T1166" s="26"/>
      <c r="U1166" s="26"/>
      <c r="V1166" s="26"/>
      <c r="W1166" s="26"/>
      <c r="X1166" s="26"/>
      <c r="Y1166" s="26"/>
      <c r="Z1166" s="26"/>
      <c r="AA1166" s="26"/>
      <c r="AB1166" s="26"/>
      <c r="AC1166" s="26"/>
      <c r="AD1166" s="26"/>
      <c r="AE1166" s="26"/>
      <c r="AF1166" s="26"/>
      <c r="AG1166" s="26"/>
      <c r="AH1166" s="26"/>
      <c r="AI1166" s="26"/>
      <c r="AJ1166" s="26"/>
      <c r="AK1166" s="26"/>
      <c r="AL1166" s="26"/>
      <c r="AM1166" s="26"/>
      <c r="AN1166" s="26"/>
      <c r="AO1166" s="26"/>
      <c r="AP1166" s="26"/>
      <c r="AQ1166" s="26"/>
      <c r="AR1166" s="26"/>
      <c r="AS1166" s="26"/>
      <c r="AT1166" s="26"/>
      <c r="AU1166" s="26"/>
      <c r="AV1166" s="26"/>
      <c r="AW1166" s="26"/>
      <c r="AX1166" s="26"/>
      <c r="AY1166" s="26"/>
    </row>
    <row r="1167" spans="2:51">
      <c r="B1167" s="32" t="s">
        <v>135</v>
      </c>
      <c r="C1167" s="12"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D1167" s="12"/>
      <c r="J1167" s="16"/>
      <c r="S1167" s="26"/>
      <c r="T1167" s="26"/>
      <c r="U1167" s="26"/>
      <c r="V1167" s="26"/>
      <c r="W1167" s="26"/>
      <c r="X1167" s="26"/>
      <c r="Y1167" s="26"/>
      <c r="Z1167" s="26"/>
      <c r="AA1167" s="26"/>
      <c r="AB1167" s="26"/>
      <c r="AC1167" s="26"/>
      <c r="AD1167" s="26"/>
      <c r="AE1167" s="26"/>
      <c r="AF1167" s="26"/>
      <c r="AG1167" s="26"/>
      <c r="AH1167" s="26"/>
      <c r="AI1167" s="26"/>
      <c r="AJ1167" s="26"/>
      <c r="AK1167" s="26"/>
      <c r="AL1167" s="26"/>
      <c r="AM1167" s="26"/>
      <c r="AN1167" s="26"/>
      <c r="AO1167" s="26"/>
      <c r="AP1167" s="26"/>
      <c r="AQ1167" s="26"/>
      <c r="AR1167" s="26"/>
      <c r="AS1167" s="26"/>
      <c r="AT1167" s="26"/>
      <c r="AU1167" s="26"/>
      <c r="AV1167" s="26"/>
      <c r="AW1167" s="26"/>
      <c r="AX1167" s="26"/>
      <c r="AY1167" s="26"/>
    </row>
    <row r="1168" spans="2:51">
      <c r="B1168" s="32" t="s">
        <v>132</v>
      </c>
      <c r="C1168" s="12"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D1168" s="12"/>
      <c r="J1168" s="16"/>
      <c r="S1168" s="26"/>
      <c r="T1168" s="26"/>
      <c r="U1168" s="26"/>
      <c r="V1168" s="26"/>
      <c r="W1168" s="26"/>
      <c r="X1168" s="26"/>
      <c r="Y1168" s="26"/>
      <c r="Z1168" s="26"/>
      <c r="AA1168" s="26"/>
      <c r="AB1168" s="26"/>
      <c r="AC1168" s="26"/>
      <c r="AD1168" s="26"/>
      <c r="AE1168" s="26"/>
      <c r="AF1168" s="26"/>
      <c r="AG1168" s="26"/>
      <c r="AH1168" s="26"/>
      <c r="AI1168" s="26"/>
      <c r="AJ1168" s="26"/>
      <c r="AK1168" s="26"/>
      <c r="AL1168" s="26"/>
      <c r="AM1168" s="26"/>
      <c r="AN1168" s="26"/>
      <c r="AO1168" s="26"/>
      <c r="AP1168" s="26"/>
      <c r="AQ1168" s="26"/>
      <c r="AR1168" s="26"/>
      <c r="AS1168" s="26"/>
      <c r="AT1168" s="26"/>
      <c r="AU1168" s="26"/>
      <c r="AV1168" s="26"/>
      <c r="AW1168" s="26"/>
      <c r="AX1168" s="26"/>
      <c r="AY1168" s="26"/>
    </row>
    <row r="1169" spans="2:51">
      <c r="B1169" s="32" t="s">
        <v>134</v>
      </c>
      <c r="C1169" s="12"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D1169" s="12"/>
      <c r="J1169" s="16"/>
      <c r="S1169" s="26"/>
      <c r="T1169" s="26"/>
      <c r="U1169" s="26"/>
      <c r="V1169" s="26"/>
      <c r="W1169" s="26"/>
      <c r="X1169" s="26"/>
      <c r="Y1169" s="26"/>
      <c r="Z1169" s="26"/>
      <c r="AA1169" s="26"/>
      <c r="AB1169" s="26"/>
      <c r="AC1169" s="26"/>
      <c r="AD1169" s="26"/>
      <c r="AE1169" s="26"/>
      <c r="AF1169" s="26"/>
      <c r="AG1169" s="26"/>
      <c r="AH1169" s="26"/>
      <c r="AI1169" s="26"/>
      <c r="AJ1169" s="26"/>
      <c r="AK1169" s="26"/>
      <c r="AL1169" s="26"/>
      <c r="AM1169" s="26"/>
      <c r="AN1169" s="26"/>
      <c r="AO1169" s="26"/>
      <c r="AP1169" s="26"/>
      <c r="AQ1169" s="26"/>
      <c r="AR1169" s="26"/>
      <c r="AS1169" s="26"/>
      <c r="AT1169" s="26"/>
      <c r="AU1169" s="26"/>
      <c r="AV1169" s="26"/>
      <c r="AW1169" s="26"/>
      <c r="AX1169" s="26"/>
      <c r="AY1169" s="26"/>
    </row>
    <row r="1170" spans="2:51">
      <c r="B1170" s="32" t="s">
        <v>199</v>
      </c>
      <c r="C1170" s="12"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D1170" s="12"/>
      <c r="J1170" s="16"/>
      <c r="S1170" s="26"/>
      <c r="T1170" s="26"/>
      <c r="U1170" s="26"/>
      <c r="V1170" s="26"/>
      <c r="W1170" s="26"/>
      <c r="X1170" s="26"/>
      <c r="Y1170" s="26"/>
      <c r="Z1170" s="26"/>
      <c r="AA1170" s="26"/>
      <c r="AB1170" s="26"/>
      <c r="AC1170" s="26"/>
      <c r="AD1170" s="26"/>
      <c r="AE1170" s="26"/>
      <c r="AF1170" s="26"/>
      <c r="AG1170" s="26"/>
      <c r="AH1170" s="26"/>
      <c r="AI1170" s="26"/>
      <c r="AJ1170" s="26"/>
      <c r="AK1170" s="26"/>
      <c r="AL1170" s="26"/>
      <c r="AM1170" s="26"/>
      <c r="AN1170" s="26"/>
      <c r="AO1170" s="26"/>
      <c r="AP1170" s="26"/>
      <c r="AQ1170" s="26"/>
      <c r="AR1170" s="26"/>
      <c r="AS1170" s="26"/>
      <c r="AT1170" s="26"/>
      <c r="AU1170" s="26"/>
      <c r="AV1170" s="26"/>
      <c r="AW1170" s="26"/>
      <c r="AX1170" s="26"/>
      <c r="AY1170" s="26"/>
    </row>
    <row r="1171" spans="2:51">
      <c r="B1171" s="32" t="s">
        <v>138</v>
      </c>
      <c r="C1171" s="12"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D1171" s="12"/>
      <c r="J1171" s="16"/>
      <c r="S1171" s="26"/>
      <c r="T1171" s="26"/>
      <c r="U1171" s="26"/>
      <c r="V1171" s="26"/>
      <c r="W1171" s="26"/>
      <c r="X1171" s="26"/>
      <c r="Y1171" s="26"/>
      <c r="Z1171" s="26"/>
      <c r="AA1171" s="26"/>
      <c r="AB1171" s="26"/>
      <c r="AC1171" s="26"/>
      <c r="AD1171" s="26"/>
      <c r="AE1171" s="26"/>
      <c r="AF1171" s="26"/>
      <c r="AG1171" s="26"/>
      <c r="AH1171" s="26"/>
      <c r="AI1171" s="26"/>
      <c r="AJ1171" s="26"/>
      <c r="AK1171" s="26"/>
      <c r="AL1171" s="26"/>
      <c r="AM1171" s="26"/>
      <c r="AN1171" s="26"/>
      <c r="AO1171" s="26"/>
      <c r="AP1171" s="26"/>
      <c r="AQ1171" s="26"/>
      <c r="AR1171" s="26"/>
      <c r="AS1171" s="26"/>
      <c r="AT1171" s="26"/>
      <c r="AU1171" s="26"/>
      <c r="AV1171" s="26"/>
      <c r="AW1171" s="26"/>
      <c r="AX1171" s="26"/>
      <c r="AY1171" s="26"/>
    </row>
    <row r="1172" spans="2:51">
      <c r="B1172" s="32" t="s">
        <v>140</v>
      </c>
      <c r="C1172" s="12"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D1172" s="12"/>
      <c r="J1172" s="16"/>
      <c r="S1172" s="26"/>
      <c r="T1172" s="26"/>
      <c r="U1172" s="26"/>
      <c r="V1172" s="26"/>
      <c r="W1172" s="26"/>
      <c r="X1172" s="26"/>
      <c r="Y1172" s="26"/>
      <c r="Z1172" s="26"/>
      <c r="AA1172" s="26"/>
      <c r="AB1172" s="26"/>
      <c r="AC1172" s="26"/>
      <c r="AD1172" s="26"/>
      <c r="AE1172" s="26"/>
      <c r="AF1172" s="26"/>
      <c r="AG1172" s="26"/>
      <c r="AH1172" s="26"/>
      <c r="AI1172" s="26"/>
      <c r="AJ1172" s="26"/>
      <c r="AK1172" s="26"/>
      <c r="AL1172" s="26"/>
      <c r="AM1172" s="26"/>
      <c r="AN1172" s="26"/>
      <c r="AO1172" s="26"/>
      <c r="AP1172" s="26"/>
      <c r="AQ1172" s="26"/>
      <c r="AR1172" s="26"/>
      <c r="AS1172" s="26"/>
      <c r="AT1172" s="26"/>
      <c r="AU1172" s="26"/>
      <c r="AV1172" s="26"/>
      <c r="AW1172" s="26"/>
      <c r="AX1172" s="26"/>
      <c r="AY1172" s="26"/>
    </row>
    <row r="1173" spans="2:51">
      <c r="B1173" s="32" t="s">
        <v>141</v>
      </c>
      <c r="C1173" s="12"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D1173" s="12"/>
      <c r="J1173" s="16"/>
      <c r="S1173" s="26"/>
      <c r="T1173" s="26"/>
      <c r="U1173" s="26"/>
      <c r="V1173" s="26"/>
      <c r="W1173" s="26"/>
      <c r="X1173" s="26"/>
      <c r="Y1173" s="26"/>
      <c r="Z1173" s="26"/>
      <c r="AA1173" s="26"/>
      <c r="AB1173" s="26"/>
      <c r="AC1173" s="26"/>
      <c r="AD1173" s="26"/>
      <c r="AE1173" s="26"/>
      <c r="AF1173" s="26"/>
      <c r="AG1173" s="26"/>
      <c r="AH1173" s="26"/>
      <c r="AI1173" s="26"/>
      <c r="AJ1173" s="26"/>
      <c r="AK1173" s="26"/>
      <c r="AL1173" s="26"/>
      <c r="AM1173" s="26"/>
      <c r="AN1173" s="26"/>
      <c r="AO1173" s="26"/>
      <c r="AP1173" s="26"/>
      <c r="AQ1173" s="26"/>
      <c r="AR1173" s="26"/>
      <c r="AS1173" s="26"/>
      <c r="AT1173" s="26"/>
      <c r="AU1173" s="26"/>
      <c r="AV1173" s="26"/>
      <c r="AW1173" s="26"/>
      <c r="AX1173" s="26"/>
      <c r="AY1173" s="26"/>
    </row>
    <row r="1174" spans="2:51">
      <c r="B1174" s="32" t="s">
        <v>206</v>
      </c>
      <c r="C1174" s="12" t="e">
        <f>#REF!+#REF!+#REF!+#REF!+#REF!+#REF!</f>
        <v>#REF!</v>
      </c>
      <c r="D1174" s="12"/>
      <c r="J1174" s="16"/>
      <c r="S1174" s="26"/>
      <c r="T1174" s="26"/>
      <c r="U1174" s="26"/>
      <c r="V1174" s="26"/>
      <c r="W1174" s="26"/>
      <c r="X1174" s="26"/>
      <c r="Y1174" s="26"/>
      <c r="Z1174" s="26"/>
      <c r="AA1174" s="26"/>
      <c r="AB1174" s="26"/>
      <c r="AC1174" s="26"/>
      <c r="AD1174" s="26"/>
      <c r="AE1174" s="26"/>
      <c r="AF1174" s="26"/>
      <c r="AG1174" s="26"/>
      <c r="AH1174" s="26"/>
      <c r="AI1174" s="26"/>
      <c r="AJ1174" s="26"/>
      <c r="AK1174" s="26"/>
      <c r="AL1174" s="26"/>
      <c r="AM1174" s="26"/>
      <c r="AN1174" s="26"/>
      <c r="AO1174" s="26"/>
      <c r="AP1174" s="26"/>
      <c r="AQ1174" s="26"/>
      <c r="AR1174" s="26"/>
      <c r="AS1174" s="26"/>
      <c r="AT1174" s="26"/>
      <c r="AU1174" s="26"/>
      <c r="AV1174" s="26"/>
      <c r="AW1174" s="26"/>
      <c r="AX1174" s="26"/>
      <c r="AY1174" s="26"/>
    </row>
    <row r="1175" spans="2:51">
      <c r="B1175" s="32" t="s">
        <v>143</v>
      </c>
      <c r="C1175" s="12"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D1175" s="12"/>
      <c r="J1175" s="16"/>
      <c r="S1175" s="26"/>
      <c r="T1175" s="26"/>
      <c r="U1175" s="26"/>
      <c r="V1175" s="26"/>
      <c r="W1175" s="26"/>
      <c r="X1175" s="26"/>
      <c r="Y1175" s="26"/>
      <c r="Z1175" s="26"/>
      <c r="AA1175" s="26"/>
      <c r="AB1175" s="26"/>
      <c r="AC1175" s="26"/>
      <c r="AD1175" s="26"/>
      <c r="AE1175" s="26"/>
      <c r="AF1175" s="26"/>
      <c r="AG1175" s="26"/>
      <c r="AH1175" s="26"/>
      <c r="AI1175" s="26"/>
      <c r="AJ1175" s="26"/>
      <c r="AK1175" s="26"/>
      <c r="AL1175" s="26"/>
      <c r="AM1175" s="26"/>
      <c r="AN1175" s="26"/>
      <c r="AO1175" s="26"/>
      <c r="AP1175" s="26"/>
      <c r="AQ1175" s="26"/>
      <c r="AR1175" s="26"/>
      <c r="AS1175" s="26"/>
      <c r="AT1175" s="26"/>
      <c r="AU1175" s="26"/>
      <c r="AV1175" s="26"/>
      <c r="AW1175" s="26"/>
      <c r="AX1175" s="26"/>
      <c r="AY1175" s="26"/>
    </row>
    <row r="1176" spans="2:51">
      <c r="B1176" s="32" t="s">
        <v>144</v>
      </c>
      <c r="C1176" s="12" t="e">
        <f>#REF!*#REF!/100+#REF!*#REF!/100</f>
        <v>#REF!</v>
      </c>
      <c r="D1176" s="12"/>
      <c r="J1176" s="16"/>
      <c r="S1176" s="26"/>
      <c r="T1176" s="26"/>
      <c r="U1176" s="26"/>
      <c r="V1176" s="26"/>
      <c r="W1176" s="26"/>
      <c r="X1176" s="26"/>
      <c r="Y1176" s="26"/>
      <c r="Z1176" s="26"/>
      <c r="AA1176" s="26"/>
      <c r="AB1176" s="26"/>
      <c r="AC1176" s="26"/>
      <c r="AD1176" s="26"/>
      <c r="AE1176" s="26"/>
      <c r="AF1176" s="26"/>
      <c r="AG1176" s="26"/>
      <c r="AH1176" s="26"/>
      <c r="AI1176" s="26"/>
      <c r="AJ1176" s="26"/>
      <c r="AK1176" s="26"/>
      <c r="AL1176" s="26"/>
      <c r="AM1176" s="26"/>
      <c r="AN1176" s="26"/>
      <c r="AO1176" s="26"/>
      <c r="AP1176" s="26"/>
      <c r="AQ1176" s="26"/>
      <c r="AR1176" s="26"/>
      <c r="AS1176" s="26"/>
      <c r="AT1176" s="26"/>
      <c r="AU1176" s="26"/>
      <c r="AV1176" s="26"/>
      <c r="AW1176" s="26"/>
      <c r="AX1176" s="26"/>
      <c r="AY1176" s="26"/>
    </row>
    <row r="1177" spans="2:51">
      <c r="B1177" s="32" t="s">
        <v>219</v>
      </c>
      <c r="C1177" s="106" t="e">
        <f>#REF!*#REF!/100</f>
        <v>#REF!</v>
      </c>
      <c r="D1177" s="12"/>
      <c r="J1177" s="16"/>
      <c r="S1177" s="26"/>
      <c r="T1177" s="26"/>
      <c r="U1177" s="26"/>
      <c r="V1177" s="26"/>
      <c r="W1177" s="26"/>
      <c r="X1177" s="26"/>
      <c r="Y1177" s="26"/>
      <c r="Z1177" s="26"/>
      <c r="AA1177" s="26"/>
      <c r="AB1177" s="26"/>
      <c r="AC1177" s="26"/>
      <c r="AD1177" s="26"/>
      <c r="AE1177" s="26"/>
      <c r="AF1177" s="26"/>
      <c r="AG1177" s="26"/>
      <c r="AH1177" s="26"/>
      <c r="AI1177" s="26"/>
      <c r="AJ1177" s="26"/>
      <c r="AK1177" s="26"/>
      <c r="AL1177" s="26"/>
      <c r="AM1177" s="26"/>
      <c r="AN1177" s="26"/>
      <c r="AO1177" s="26"/>
      <c r="AP1177" s="26"/>
      <c r="AQ1177" s="26"/>
      <c r="AR1177" s="26"/>
      <c r="AS1177" s="26"/>
      <c r="AT1177" s="26"/>
      <c r="AU1177" s="26"/>
      <c r="AV1177" s="26"/>
      <c r="AW1177" s="26"/>
      <c r="AX1177" s="26"/>
      <c r="AY1177" s="26"/>
    </row>
    <row r="1178" spans="2:51">
      <c r="B1178" s="32" t="s">
        <v>218</v>
      </c>
      <c r="C1178" s="12" t="e">
        <f>#REF!</f>
        <v>#REF!</v>
      </c>
      <c r="D1178" s="12"/>
      <c r="J1178" s="16"/>
      <c r="S1178" s="26"/>
      <c r="T1178" s="26"/>
      <c r="U1178" s="26"/>
      <c r="V1178" s="26"/>
      <c r="W1178" s="26"/>
      <c r="X1178" s="26"/>
      <c r="Y1178" s="26"/>
      <c r="Z1178" s="26"/>
      <c r="AA1178" s="26"/>
      <c r="AB1178" s="26"/>
      <c r="AC1178" s="26"/>
      <c r="AD1178" s="26"/>
      <c r="AE1178" s="26"/>
      <c r="AF1178" s="26"/>
      <c r="AG1178" s="26"/>
      <c r="AH1178" s="26"/>
      <c r="AI1178" s="26"/>
      <c r="AJ1178" s="26"/>
      <c r="AK1178" s="26"/>
      <c r="AL1178" s="26"/>
      <c r="AM1178" s="26"/>
      <c r="AN1178" s="26"/>
      <c r="AO1178" s="26"/>
      <c r="AP1178" s="26"/>
      <c r="AQ1178" s="26"/>
      <c r="AR1178" s="26"/>
      <c r="AS1178" s="26"/>
      <c r="AT1178" s="26"/>
      <c r="AU1178" s="26"/>
      <c r="AV1178" s="26"/>
      <c r="AW1178" s="26"/>
      <c r="AX1178" s="26"/>
      <c r="AY1178" s="26"/>
    </row>
    <row r="1179" spans="2:51">
      <c r="B1179" s="55" t="s">
        <v>147</v>
      </c>
      <c r="C1179" s="56" t="e">
        <f>SUM(C1163:C1178)</f>
        <v>#REF!</v>
      </c>
      <c r="D1179" s="56" t="e">
        <f>SUM(D1163:D1178)</f>
        <v>#REF!</v>
      </c>
      <c r="F1179" s="90"/>
      <c r="J1179" s="16"/>
      <c r="S1179" s="26"/>
      <c r="T1179" s="26"/>
      <c r="U1179" s="26"/>
      <c r="V1179" s="26"/>
      <c r="W1179" s="26"/>
      <c r="X1179" s="26"/>
      <c r="Y1179" s="26"/>
      <c r="Z1179" s="26"/>
      <c r="AA1179" s="26"/>
      <c r="AB1179" s="26"/>
      <c r="AC1179" s="26"/>
      <c r="AD1179" s="26"/>
      <c r="AE1179" s="26"/>
      <c r="AF1179" s="26"/>
      <c r="AG1179" s="26"/>
      <c r="AH1179" s="26"/>
      <c r="AI1179" s="26"/>
      <c r="AJ1179" s="26"/>
      <c r="AK1179" s="26"/>
      <c r="AL1179" s="26"/>
      <c r="AM1179" s="26"/>
      <c r="AN1179" s="26"/>
      <c r="AO1179" s="26"/>
      <c r="AP1179" s="26"/>
      <c r="AQ1179" s="26"/>
      <c r="AR1179" s="26"/>
      <c r="AS1179" s="26"/>
      <c r="AT1179" s="26"/>
      <c r="AU1179" s="26"/>
      <c r="AV1179" s="26"/>
      <c r="AW1179" s="26"/>
      <c r="AX1179" s="26"/>
      <c r="AY1179" s="26"/>
    </row>
    <row r="1180" spans="2:51">
      <c r="B1180" s="31"/>
      <c r="F1180" s="81"/>
      <c r="J1180" s="16"/>
      <c r="S1180" s="26"/>
      <c r="T1180" s="26"/>
      <c r="U1180" s="26"/>
      <c r="V1180" s="26"/>
      <c r="W1180" s="26"/>
      <c r="X1180" s="26"/>
      <c r="Y1180" s="26"/>
      <c r="Z1180" s="26"/>
      <c r="AA1180" s="26"/>
      <c r="AB1180" s="26"/>
      <c r="AC1180" s="26"/>
      <c r="AD1180" s="26"/>
      <c r="AE1180" s="26"/>
      <c r="AF1180" s="26"/>
      <c r="AG1180" s="26"/>
      <c r="AH1180" s="26"/>
      <c r="AI1180" s="26"/>
      <c r="AJ1180" s="26"/>
      <c r="AK1180" s="26"/>
      <c r="AL1180" s="26"/>
      <c r="AM1180" s="26"/>
      <c r="AN1180" s="26"/>
      <c r="AO1180" s="26"/>
      <c r="AP1180" s="26"/>
      <c r="AQ1180" s="26"/>
      <c r="AR1180" s="26"/>
      <c r="AS1180" s="26"/>
      <c r="AT1180" s="26"/>
      <c r="AU1180" s="26"/>
      <c r="AV1180" s="26"/>
      <c r="AW1180" s="26"/>
      <c r="AX1180" s="26"/>
      <c r="AY1180" s="26"/>
    </row>
    <row r="1181" spans="2:51">
      <c r="B1181" s="31"/>
      <c r="C1181" s="50"/>
      <c r="D1181" s="50"/>
      <c r="J1181" s="16"/>
      <c r="S1181" s="26"/>
      <c r="T1181" s="26"/>
      <c r="U1181" s="26"/>
      <c r="V1181" s="26"/>
      <c r="W1181" s="26"/>
      <c r="X1181" s="26"/>
      <c r="Y1181" s="26"/>
      <c r="Z1181" s="26"/>
      <c r="AA1181" s="26"/>
      <c r="AB1181" s="26"/>
      <c r="AC1181" s="26"/>
      <c r="AD1181" s="26"/>
      <c r="AE1181" s="26"/>
      <c r="AF1181" s="26"/>
      <c r="AG1181" s="26"/>
      <c r="AH1181" s="26"/>
      <c r="AI1181" s="26"/>
      <c r="AJ1181" s="26"/>
      <c r="AK1181" s="26"/>
      <c r="AL1181" s="26"/>
      <c r="AM1181" s="26"/>
      <c r="AN1181" s="26"/>
      <c r="AO1181" s="26"/>
      <c r="AP1181" s="26"/>
      <c r="AQ1181" s="26"/>
      <c r="AR1181" s="26"/>
      <c r="AS1181" s="26"/>
      <c r="AT1181" s="26"/>
      <c r="AU1181" s="26"/>
      <c r="AV1181" s="26"/>
      <c r="AW1181" s="26"/>
      <c r="AX1181" s="26"/>
      <c r="AY1181" s="26"/>
    </row>
    <row r="1182" spans="2:51">
      <c r="B1182" s="59" t="s">
        <v>228</v>
      </c>
      <c r="C1182" s="50"/>
      <c r="D1182" s="50"/>
      <c r="J1182" s="16"/>
      <c r="S1182" s="26"/>
      <c r="T1182" s="26"/>
      <c r="U1182" s="26"/>
      <c r="V1182" s="26"/>
      <c r="W1182" s="26"/>
      <c r="X1182" s="26"/>
      <c r="Y1182" s="26"/>
      <c r="Z1182" s="26"/>
      <c r="AA1182" s="26"/>
      <c r="AB1182" s="26"/>
      <c r="AC1182" s="26"/>
      <c r="AD1182" s="26"/>
      <c r="AE1182" s="26"/>
      <c r="AF1182" s="26"/>
      <c r="AG1182" s="26"/>
      <c r="AH1182" s="26"/>
      <c r="AI1182" s="26"/>
      <c r="AJ1182" s="26"/>
      <c r="AK1182" s="26"/>
      <c r="AL1182" s="26"/>
      <c r="AM1182" s="26"/>
      <c r="AN1182" s="26"/>
      <c r="AO1182" s="26"/>
      <c r="AP1182" s="26"/>
      <c r="AQ1182" s="26"/>
      <c r="AR1182" s="26"/>
      <c r="AS1182" s="26"/>
      <c r="AT1182" s="26"/>
      <c r="AU1182" s="26"/>
      <c r="AV1182" s="26"/>
      <c r="AW1182" s="26"/>
      <c r="AX1182" s="26"/>
      <c r="AY1182" s="26"/>
    </row>
    <row r="1183" spans="2:51">
      <c r="B1183" s="31"/>
      <c r="C1183" s="50"/>
      <c r="D1183" s="50"/>
      <c r="J1183" s="16"/>
      <c r="S1183" s="26"/>
      <c r="T1183" s="26"/>
      <c r="U1183" s="26"/>
      <c r="V1183" s="26"/>
      <c r="W1183" s="26"/>
      <c r="X1183" s="26"/>
      <c r="Y1183" s="26"/>
      <c r="Z1183" s="26"/>
      <c r="AA1183" s="26"/>
      <c r="AB1183" s="26"/>
      <c r="AC1183" s="26"/>
      <c r="AD1183" s="26"/>
      <c r="AE1183" s="26"/>
      <c r="AF1183" s="26"/>
      <c r="AG1183" s="26"/>
      <c r="AH1183" s="26"/>
      <c r="AI1183" s="26"/>
      <c r="AJ1183" s="26"/>
      <c r="AK1183" s="26"/>
      <c r="AL1183" s="26"/>
      <c r="AM1183" s="26"/>
      <c r="AN1183" s="26"/>
      <c r="AO1183" s="26"/>
      <c r="AP1183" s="26"/>
      <c r="AQ1183" s="26"/>
      <c r="AR1183" s="26"/>
      <c r="AS1183" s="26"/>
      <c r="AT1183" s="26"/>
      <c r="AU1183" s="26"/>
      <c r="AV1183" s="26"/>
      <c r="AW1183" s="26"/>
      <c r="AX1183" s="26"/>
      <c r="AY1183" s="26"/>
    </row>
    <row r="1184" spans="2:51">
      <c r="B1184" s="31"/>
      <c r="C1184" s="50"/>
      <c r="D1184" s="50"/>
      <c r="J1184" s="16"/>
      <c r="S1184" s="26"/>
      <c r="T1184" s="26"/>
      <c r="U1184" s="26"/>
      <c r="V1184" s="26"/>
      <c r="W1184" s="26"/>
      <c r="X1184" s="26"/>
      <c r="Y1184" s="26"/>
      <c r="Z1184" s="26"/>
      <c r="AA1184" s="26"/>
      <c r="AB1184" s="26"/>
      <c r="AC1184" s="26"/>
      <c r="AD1184" s="26"/>
      <c r="AE1184" s="26"/>
      <c r="AF1184" s="26"/>
      <c r="AG1184" s="26"/>
      <c r="AH1184" s="26"/>
      <c r="AI1184" s="26"/>
      <c r="AJ1184" s="26"/>
      <c r="AK1184" s="26"/>
      <c r="AL1184" s="26"/>
      <c r="AM1184" s="26"/>
      <c r="AN1184" s="26"/>
      <c r="AO1184" s="26"/>
      <c r="AP1184" s="26"/>
      <c r="AQ1184" s="26"/>
      <c r="AR1184" s="26"/>
      <c r="AS1184" s="26"/>
      <c r="AT1184" s="26"/>
      <c r="AU1184" s="26"/>
      <c r="AV1184" s="26"/>
      <c r="AW1184" s="26"/>
      <c r="AX1184" s="26"/>
      <c r="AY1184" s="26"/>
    </row>
    <row r="1185" spans="2:51">
      <c r="B1185" s="31"/>
      <c r="C1185" s="50"/>
      <c r="D1185" s="50"/>
      <c r="J1185" s="16"/>
      <c r="S1185" s="26"/>
      <c r="T1185" s="26"/>
      <c r="U1185" s="26"/>
      <c r="V1185" s="26"/>
      <c r="W1185" s="26"/>
      <c r="X1185" s="26"/>
      <c r="Y1185" s="26"/>
      <c r="Z1185" s="26"/>
      <c r="AA1185" s="26"/>
      <c r="AB1185" s="26"/>
      <c r="AC1185" s="26"/>
      <c r="AD1185" s="26"/>
      <c r="AE1185" s="26"/>
      <c r="AF1185" s="26"/>
      <c r="AG1185" s="26"/>
      <c r="AH1185" s="26"/>
      <c r="AI1185" s="26"/>
      <c r="AJ1185" s="26"/>
      <c r="AK1185" s="26"/>
      <c r="AL1185" s="26"/>
      <c r="AM1185" s="26"/>
      <c r="AN1185" s="26"/>
      <c r="AO1185" s="26"/>
      <c r="AP1185" s="26"/>
      <c r="AQ1185" s="26"/>
      <c r="AR1185" s="26"/>
      <c r="AS1185" s="26"/>
      <c r="AT1185" s="26"/>
      <c r="AU1185" s="26"/>
      <c r="AV1185" s="26"/>
      <c r="AW1185" s="26"/>
      <c r="AX1185" s="26"/>
      <c r="AY1185" s="26"/>
    </row>
    <row r="1186" spans="2:51">
      <c r="B1186" s="31"/>
      <c r="C1186" s="50"/>
      <c r="D1186" s="50"/>
      <c r="J1186" s="16"/>
      <c r="S1186" s="26"/>
      <c r="T1186" s="26"/>
      <c r="U1186" s="26"/>
      <c r="V1186" s="26"/>
      <c r="W1186" s="26"/>
      <c r="X1186" s="26"/>
      <c r="Y1186" s="26"/>
      <c r="Z1186" s="26"/>
      <c r="AA1186" s="26"/>
      <c r="AB1186" s="26"/>
      <c r="AC1186" s="26"/>
      <c r="AD1186" s="26"/>
      <c r="AE1186" s="26"/>
      <c r="AF1186" s="26"/>
      <c r="AG1186" s="26"/>
      <c r="AH1186" s="26"/>
      <c r="AI1186" s="26"/>
      <c r="AJ1186" s="26"/>
      <c r="AK1186" s="26"/>
      <c r="AL1186" s="26"/>
      <c r="AM1186" s="26"/>
      <c r="AN1186" s="26"/>
      <c r="AO1186" s="26"/>
      <c r="AP1186" s="26"/>
      <c r="AQ1186" s="26"/>
      <c r="AR1186" s="26"/>
      <c r="AS1186" s="26"/>
      <c r="AT1186" s="26"/>
      <c r="AU1186" s="26"/>
      <c r="AV1186" s="26"/>
      <c r="AW1186" s="26"/>
      <c r="AX1186" s="26"/>
      <c r="AY1186" s="26"/>
    </row>
    <row r="1187" spans="2:51">
      <c r="B1187" s="31"/>
      <c r="C1187" s="50"/>
      <c r="D1187" s="50"/>
      <c r="J1187" s="16"/>
      <c r="S1187" s="26"/>
      <c r="T1187" s="26"/>
      <c r="U1187" s="26"/>
      <c r="V1187" s="26"/>
      <c r="W1187" s="26"/>
      <c r="X1187" s="26"/>
      <c r="Y1187" s="26"/>
      <c r="Z1187" s="26"/>
      <c r="AA1187" s="26"/>
      <c r="AB1187" s="26"/>
      <c r="AC1187" s="26"/>
      <c r="AD1187" s="26"/>
      <c r="AE1187" s="26"/>
      <c r="AF1187" s="26"/>
      <c r="AG1187" s="26"/>
      <c r="AH1187" s="26"/>
      <c r="AI1187" s="26"/>
      <c r="AJ1187" s="26"/>
      <c r="AK1187" s="26"/>
      <c r="AL1187" s="26"/>
      <c r="AM1187" s="26"/>
      <c r="AN1187" s="26"/>
      <c r="AO1187" s="26"/>
      <c r="AP1187" s="26"/>
      <c r="AQ1187" s="26"/>
      <c r="AR1187" s="26"/>
      <c r="AS1187" s="26"/>
      <c r="AT1187" s="26"/>
      <c r="AU1187" s="26"/>
      <c r="AV1187" s="26"/>
      <c r="AW1187" s="26"/>
      <c r="AX1187" s="26"/>
      <c r="AY1187" s="26"/>
    </row>
    <row r="1188" spans="2:51">
      <c r="B1188" s="31"/>
      <c r="C1188" s="50"/>
      <c r="D1188" s="50"/>
      <c r="J1188" s="16"/>
      <c r="S1188" s="26"/>
      <c r="T1188" s="26"/>
      <c r="U1188" s="26"/>
      <c r="V1188" s="26"/>
      <c r="W1188" s="26"/>
      <c r="X1188" s="26"/>
      <c r="Y1188" s="26"/>
      <c r="Z1188" s="26"/>
      <c r="AA1188" s="26"/>
      <c r="AB1188" s="26"/>
      <c r="AC1188" s="26"/>
      <c r="AD1188" s="26"/>
      <c r="AE1188" s="26"/>
      <c r="AF1188" s="26"/>
      <c r="AG1188" s="26"/>
      <c r="AH1188" s="26"/>
      <c r="AI1188" s="26"/>
      <c r="AJ1188" s="26"/>
      <c r="AK1188" s="26"/>
      <c r="AL1188" s="26"/>
      <c r="AM1188" s="26"/>
      <c r="AN1188" s="26"/>
      <c r="AO1188" s="26"/>
      <c r="AP1188" s="26"/>
      <c r="AQ1188" s="26"/>
      <c r="AR1188" s="26"/>
      <c r="AS1188" s="26"/>
      <c r="AT1188" s="26"/>
      <c r="AU1188" s="26"/>
      <c r="AV1188" s="26"/>
      <c r="AW1188" s="26"/>
      <c r="AX1188" s="26"/>
      <c r="AY1188" s="26"/>
    </row>
    <row r="1189" spans="2:51">
      <c r="B1189" s="31"/>
      <c r="C1189" s="50"/>
      <c r="D1189" s="50"/>
      <c r="J1189" s="16"/>
      <c r="S1189" s="26"/>
      <c r="T1189" s="26"/>
      <c r="U1189" s="26"/>
      <c r="V1189" s="26"/>
      <c r="W1189" s="26"/>
      <c r="X1189" s="26"/>
      <c r="Y1189" s="26"/>
      <c r="Z1189" s="26"/>
      <c r="AA1189" s="26"/>
      <c r="AB1189" s="26"/>
      <c r="AC1189" s="26"/>
      <c r="AD1189" s="26"/>
      <c r="AE1189" s="26"/>
      <c r="AF1189" s="26"/>
      <c r="AG1189" s="26"/>
      <c r="AH1189" s="26"/>
      <c r="AI1189" s="26"/>
      <c r="AJ1189" s="26"/>
      <c r="AK1189" s="26"/>
      <c r="AL1189" s="26"/>
      <c r="AM1189" s="26"/>
      <c r="AN1189" s="26"/>
      <c r="AO1189" s="26"/>
      <c r="AP1189" s="26"/>
      <c r="AQ1189" s="26"/>
      <c r="AR1189" s="26"/>
      <c r="AS1189" s="26"/>
      <c r="AT1189" s="26"/>
      <c r="AU1189" s="26"/>
      <c r="AV1189" s="26"/>
      <c r="AW1189" s="26"/>
      <c r="AX1189" s="26"/>
      <c r="AY1189" s="26"/>
    </row>
    <row r="1190" spans="2:51">
      <c r="B1190" s="31"/>
      <c r="C1190" s="50"/>
      <c r="D1190" s="50"/>
      <c r="J1190" s="16"/>
      <c r="S1190" s="26"/>
      <c r="T1190" s="26"/>
      <c r="U1190" s="26"/>
      <c r="V1190" s="26"/>
      <c r="W1190" s="26"/>
      <c r="X1190" s="26"/>
      <c r="Y1190" s="26"/>
      <c r="Z1190" s="26"/>
      <c r="AA1190" s="26"/>
      <c r="AB1190" s="26"/>
      <c r="AC1190" s="26"/>
      <c r="AD1190" s="26"/>
      <c r="AE1190" s="26"/>
      <c r="AF1190" s="26"/>
      <c r="AG1190" s="26"/>
      <c r="AH1190" s="26"/>
      <c r="AI1190" s="26"/>
      <c r="AJ1190" s="26"/>
      <c r="AK1190" s="26"/>
      <c r="AL1190" s="26"/>
      <c r="AM1190" s="26"/>
      <c r="AN1190" s="26"/>
      <c r="AO1190" s="26"/>
      <c r="AP1190" s="26"/>
      <c r="AQ1190" s="26"/>
      <c r="AR1190" s="26"/>
      <c r="AS1190" s="26"/>
      <c r="AT1190" s="26"/>
      <c r="AU1190" s="26"/>
      <c r="AV1190" s="26"/>
      <c r="AW1190" s="26"/>
      <c r="AX1190" s="26"/>
      <c r="AY1190" s="26"/>
    </row>
    <row r="1191" spans="2:51">
      <c r="B1191" s="31"/>
      <c r="C1191" s="50"/>
      <c r="D1191" s="50"/>
      <c r="J1191" s="16"/>
      <c r="S1191" s="26"/>
      <c r="T1191" s="26"/>
      <c r="U1191" s="26"/>
      <c r="V1191" s="26"/>
      <c r="W1191" s="26"/>
      <c r="X1191" s="26"/>
      <c r="Y1191" s="26"/>
      <c r="Z1191" s="26"/>
      <c r="AA1191" s="26"/>
      <c r="AB1191" s="26"/>
      <c r="AC1191" s="26"/>
      <c r="AD1191" s="26"/>
      <c r="AE1191" s="26"/>
      <c r="AF1191" s="26"/>
      <c r="AG1191" s="26"/>
      <c r="AH1191" s="26"/>
      <c r="AI1191" s="26"/>
      <c r="AJ1191" s="26"/>
      <c r="AK1191" s="26"/>
      <c r="AL1191" s="26"/>
      <c r="AM1191" s="26"/>
      <c r="AN1191" s="26"/>
      <c r="AO1191" s="26"/>
      <c r="AP1191" s="26"/>
      <c r="AQ1191" s="26"/>
      <c r="AR1191" s="26"/>
      <c r="AS1191" s="26"/>
      <c r="AT1191" s="26"/>
      <c r="AU1191" s="26"/>
      <c r="AV1191" s="26"/>
      <c r="AW1191" s="26"/>
      <c r="AX1191" s="26"/>
      <c r="AY1191" s="26"/>
    </row>
    <row r="1192" spans="2:51">
      <c r="B1192" s="31"/>
      <c r="C1192" s="50"/>
      <c r="D1192" s="50"/>
      <c r="J1192" s="16"/>
      <c r="S1192" s="26"/>
      <c r="T1192" s="26"/>
      <c r="U1192" s="26"/>
      <c r="V1192" s="26"/>
      <c r="W1192" s="26"/>
      <c r="X1192" s="26"/>
      <c r="Y1192" s="26"/>
      <c r="Z1192" s="26"/>
      <c r="AA1192" s="26"/>
      <c r="AB1192" s="26"/>
      <c r="AC1192" s="26"/>
      <c r="AD1192" s="26"/>
      <c r="AE1192" s="26"/>
      <c r="AF1192" s="26"/>
      <c r="AG1192" s="26"/>
      <c r="AH1192" s="26"/>
      <c r="AI1192" s="26"/>
      <c r="AJ1192" s="26"/>
      <c r="AK1192" s="26"/>
      <c r="AL1192" s="26"/>
      <c r="AM1192" s="26"/>
      <c r="AN1192" s="26"/>
      <c r="AO1192" s="26"/>
      <c r="AP1192" s="26"/>
      <c r="AQ1192" s="26"/>
      <c r="AR1192" s="26"/>
      <c r="AS1192" s="26"/>
      <c r="AT1192" s="26"/>
      <c r="AU1192" s="26"/>
      <c r="AV1192" s="26"/>
      <c r="AW1192" s="26"/>
      <c r="AX1192" s="26"/>
      <c r="AY1192" s="26"/>
    </row>
    <row r="1193" spans="2:51">
      <c r="B1193" s="31"/>
      <c r="C1193" s="50"/>
      <c r="D1193" s="50"/>
      <c r="J1193" s="16"/>
      <c r="S1193" s="26"/>
      <c r="T1193" s="26"/>
      <c r="U1193" s="26"/>
      <c r="V1193" s="26"/>
      <c r="W1193" s="26"/>
      <c r="X1193" s="26"/>
      <c r="Y1193" s="26"/>
      <c r="Z1193" s="26"/>
      <c r="AA1193" s="26"/>
      <c r="AB1193" s="26"/>
      <c r="AC1193" s="26"/>
      <c r="AD1193" s="26"/>
      <c r="AE1193" s="26"/>
      <c r="AF1193" s="26"/>
      <c r="AG1193" s="26"/>
      <c r="AH1193" s="26"/>
      <c r="AI1193" s="26"/>
      <c r="AJ1193" s="26"/>
      <c r="AK1193" s="26"/>
      <c r="AL1193" s="26"/>
      <c r="AM1193" s="26"/>
      <c r="AN1193" s="26"/>
      <c r="AO1193" s="26"/>
      <c r="AP1193" s="26"/>
      <c r="AQ1193" s="26"/>
      <c r="AR1193" s="26"/>
      <c r="AS1193" s="26"/>
      <c r="AT1193" s="26"/>
      <c r="AU1193" s="26"/>
      <c r="AV1193" s="26"/>
      <c r="AW1193" s="26"/>
      <c r="AX1193" s="26"/>
      <c r="AY1193" s="26"/>
    </row>
    <row r="1194" spans="2:51">
      <c r="B1194" s="31"/>
      <c r="C1194" s="50"/>
      <c r="D1194" s="50"/>
      <c r="J1194" s="16"/>
      <c r="S1194" s="26"/>
      <c r="T1194" s="26"/>
      <c r="U1194" s="26"/>
      <c r="V1194" s="26"/>
      <c r="W1194" s="26"/>
      <c r="X1194" s="26"/>
      <c r="Y1194" s="26"/>
      <c r="Z1194" s="26"/>
      <c r="AA1194" s="26"/>
      <c r="AB1194" s="26"/>
      <c r="AC1194" s="26"/>
      <c r="AD1194" s="26"/>
      <c r="AE1194" s="26"/>
      <c r="AF1194" s="26"/>
      <c r="AG1194" s="26"/>
      <c r="AH1194" s="26"/>
      <c r="AI1194" s="26"/>
      <c r="AJ1194" s="26"/>
      <c r="AK1194" s="26"/>
      <c r="AL1194" s="26"/>
      <c r="AM1194" s="26"/>
      <c r="AN1194" s="26"/>
      <c r="AO1194" s="26"/>
      <c r="AP1194" s="26"/>
      <c r="AQ1194" s="26"/>
      <c r="AR1194" s="26"/>
      <c r="AS1194" s="26"/>
      <c r="AT1194" s="26"/>
      <c r="AU1194" s="26"/>
      <c r="AV1194" s="26"/>
      <c r="AW1194" s="26"/>
      <c r="AX1194" s="26"/>
      <c r="AY1194" s="26"/>
    </row>
    <row r="1195" spans="2:51">
      <c r="B1195" s="31"/>
      <c r="C1195" s="50"/>
      <c r="D1195" s="50"/>
      <c r="J1195" s="16"/>
      <c r="S1195" s="26"/>
      <c r="T1195" s="26"/>
      <c r="U1195" s="26"/>
      <c r="V1195" s="26"/>
      <c r="W1195" s="26"/>
      <c r="X1195" s="26"/>
      <c r="Y1195" s="26"/>
      <c r="Z1195" s="26"/>
      <c r="AA1195" s="26"/>
      <c r="AB1195" s="26"/>
      <c r="AC1195" s="26"/>
      <c r="AD1195" s="26"/>
      <c r="AE1195" s="26"/>
      <c r="AF1195" s="26"/>
      <c r="AG1195" s="26"/>
      <c r="AH1195" s="26"/>
      <c r="AI1195" s="26"/>
      <c r="AJ1195" s="26"/>
      <c r="AK1195" s="26"/>
      <c r="AL1195" s="26"/>
      <c r="AM1195" s="26"/>
      <c r="AN1195" s="26"/>
      <c r="AO1195" s="26"/>
      <c r="AP1195" s="26"/>
      <c r="AQ1195" s="26"/>
      <c r="AR1195" s="26"/>
      <c r="AS1195" s="26"/>
      <c r="AT1195" s="26"/>
      <c r="AU1195" s="26"/>
      <c r="AV1195" s="26"/>
      <c r="AW1195" s="26"/>
      <c r="AX1195" s="26"/>
      <c r="AY1195" s="26"/>
    </row>
    <row r="1196" spans="2:51">
      <c r="B1196" s="31"/>
      <c r="C1196" s="50"/>
      <c r="D1196" s="50"/>
      <c r="J1196" s="16"/>
      <c r="S1196" s="26"/>
      <c r="T1196" s="26"/>
      <c r="U1196" s="26"/>
      <c r="V1196" s="26"/>
      <c r="W1196" s="26"/>
      <c r="X1196" s="26"/>
      <c r="Y1196" s="26"/>
      <c r="Z1196" s="26"/>
      <c r="AA1196" s="26"/>
      <c r="AB1196" s="26"/>
      <c r="AC1196" s="26"/>
      <c r="AD1196" s="26"/>
      <c r="AE1196" s="26"/>
      <c r="AF1196" s="26"/>
      <c r="AG1196" s="26"/>
      <c r="AH1196" s="26"/>
      <c r="AI1196" s="26"/>
      <c r="AJ1196" s="26"/>
      <c r="AK1196" s="26"/>
      <c r="AL1196" s="26"/>
      <c r="AM1196" s="26"/>
      <c r="AN1196" s="26"/>
      <c r="AO1196" s="26"/>
      <c r="AP1196" s="26"/>
      <c r="AQ1196" s="26"/>
      <c r="AR1196" s="26"/>
      <c r="AS1196" s="26"/>
      <c r="AT1196" s="26"/>
      <c r="AU1196" s="26"/>
      <c r="AV1196" s="26"/>
      <c r="AW1196" s="26"/>
      <c r="AX1196" s="26"/>
      <c r="AY1196" s="26"/>
    </row>
    <row r="1197" spans="2:51">
      <c r="B1197" s="31"/>
      <c r="C1197" s="50"/>
      <c r="D1197" s="50"/>
      <c r="J1197" s="16"/>
      <c r="S1197" s="26"/>
      <c r="T1197" s="26"/>
      <c r="U1197" s="26"/>
      <c r="V1197" s="26"/>
      <c r="W1197" s="26"/>
      <c r="X1197" s="26"/>
      <c r="Y1197" s="26"/>
      <c r="Z1197" s="26"/>
      <c r="AA1197" s="26"/>
      <c r="AB1197" s="26"/>
      <c r="AC1197" s="26"/>
      <c r="AD1197" s="26"/>
      <c r="AE1197" s="26"/>
      <c r="AF1197" s="26"/>
      <c r="AG1197" s="26"/>
      <c r="AH1197" s="26"/>
      <c r="AI1197" s="26"/>
      <c r="AJ1197" s="26"/>
      <c r="AK1197" s="26"/>
      <c r="AL1197" s="26"/>
      <c r="AM1197" s="26"/>
      <c r="AN1197" s="26"/>
      <c r="AO1197" s="26"/>
      <c r="AP1197" s="26"/>
      <c r="AQ1197" s="26"/>
      <c r="AR1197" s="26"/>
      <c r="AS1197" s="26"/>
      <c r="AT1197" s="26"/>
      <c r="AU1197" s="26"/>
      <c r="AV1197" s="26"/>
      <c r="AW1197" s="26"/>
      <c r="AX1197" s="26"/>
      <c r="AY1197" s="26"/>
    </row>
    <row r="1198" spans="2:51">
      <c r="B1198" s="31"/>
      <c r="C1198" s="50"/>
      <c r="D1198" s="50"/>
      <c r="J1198" s="16"/>
      <c r="S1198" s="26"/>
      <c r="T1198" s="26"/>
      <c r="U1198" s="26"/>
      <c r="V1198" s="26"/>
      <c r="W1198" s="26"/>
      <c r="X1198" s="26"/>
      <c r="Y1198" s="26"/>
      <c r="Z1198" s="26"/>
      <c r="AA1198" s="26"/>
      <c r="AB1198" s="26"/>
      <c r="AC1198" s="26"/>
      <c r="AD1198" s="26"/>
      <c r="AE1198" s="26"/>
      <c r="AF1198" s="26"/>
      <c r="AG1198" s="26"/>
      <c r="AH1198" s="26"/>
      <c r="AI1198" s="26"/>
      <c r="AJ1198" s="26"/>
      <c r="AK1198" s="26"/>
      <c r="AL1198" s="26"/>
      <c r="AM1198" s="26"/>
      <c r="AN1198" s="26"/>
      <c r="AO1198" s="26"/>
      <c r="AP1198" s="26"/>
      <c r="AQ1198" s="26"/>
      <c r="AR1198" s="26"/>
      <c r="AS1198" s="26"/>
      <c r="AT1198" s="26"/>
      <c r="AU1198" s="26"/>
      <c r="AV1198" s="26"/>
      <c r="AW1198" s="26"/>
      <c r="AX1198" s="26"/>
      <c r="AY1198" s="26"/>
    </row>
    <row r="1199" spans="2:51">
      <c r="B1199" s="31"/>
      <c r="C1199" s="50"/>
      <c r="D1199" s="50"/>
      <c r="J1199" s="16"/>
      <c r="S1199" s="26"/>
      <c r="T1199" s="26"/>
      <c r="U1199" s="26"/>
      <c r="V1199" s="26"/>
      <c r="W1199" s="26"/>
      <c r="X1199" s="26"/>
      <c r="Y1199" s="26"/>
      <c r="Z1199" s="26"/>
      <c r="AA1199" s="26"/>
      <c r="AB1199" s="26"/>
      <c r="AC1199" s="26"/>
      <c r="AD1199" s="26"/>
      <c r="AE1199" s="26"/>
      <c r="AF1199" s="26"/>
      <c r="AG1199" s="26"/>
      <c r="AH1199" s="26"/>
      <c r="AI1199" s="26"/>
      <c r="AJ1199" s="26"/>
      <c r="AK1199" s="26"/>
      <c r="AL1199" s="26"/>
      <c r="AM1199" s="26"/>
      <c r="AN1199" s="26"/>
      <c r="AO1199" s="26"/>
      <c r="AP1199" s="26"/>
      <c r="AQ1199" s="26"/>
      <c r="AR1199" s="26"/>
      <c r="AS1199" s="26"/>
      <c r="AT1199" s="26"/>
      <c r="AU1199" s="26"/>
      <c r="AV1199" s="26"/>
      <c r="AW1199" s="26"/>
      <c r="AX1199" s="26"/>
      <c r="AY1199" s="26"/>
    </row>
    <row r="1200" spans="2:51">
      <c r="B1200" s="31"/>
      <c r="C1200" s="50"/>
      <c r="D1200" s="50"/>
      <c r="J1200" s="16"/>
      <c r="S1200" s="26"/>
      <c r="T1200" s="26"/>
      <c r="U1200" s="26"/>
      <c r="V1200" s="26"/>
      <c r="W1200" s="26"/>
      <c r="X1200" s="26"/>
      <c r="Y1200" s="26"/>
      <c r="Z1200" s="26"/>
      <c r="AA1200" s="26"/>
      <c r="AB1200" s="26"/>
      <c r="AC1200" s="26"/>
      <c r="AD1200" s="26"/>
      <c r="AE1200" s="26"/>
      <c r="AF1200" s="26"/>
      <c r="AG1200" s="26"/>
      <c r="AH1200" s="26"/>
      <c r="AI1200" s="26"/>
      <c r="AJ1200" s="26"/>
      <c r="AK1200" s="26"/>
      <c r="AL1200" s="26"/>
      <c r="AM1200" s="26"/>
      <c r="AN1200" s="26"/>
      <c r="AO1200" s="26"/>
      <c r="AP1200" s="26"/>
      <c r="AQ1200" s="26"/>
      <c r="AR1200" s="26"/>
      <c r="AS1200" s="26"/>
      <c r="AT1200" s="26"/>
      <c r="AU1200" s="26"/>
      <c r="AV1200" s="26"/>
      <c r="AW1200" s="26"/>
      <c r="AX1200" s="26"/>
      <c r="AY1200" s="26"/>
    </row>
    <row r="1201" spans="1:51">
      <c r="B1201" s="31"/>
      <c r="C1201" s="50"/>
      <c r="D1201" s="50"/>
      <c r="J1201" s="16"/>
      <c r="S1201" s="26"/>
      <c r="T1201" s="26"/>
      <c r="U1201" s="26"/>
      <c r="V1201" s="26"/>
      <c r="W1201" s="26"/>
      <c r="X1201" s="26"/>
      <c r="Y1201" s="26"/>
      <c r="Z1201" s="26"/>
      <c r="AA1201" s="26"/>
      <c r="AB1201" s="26"/>
      <c r="AC1201" s="26"/>
      <c r="AD1201" s="26"/>
      <c r="AE1201" s="26"/>
      <c r="AF1201" s="26"/>
      <c r="AG1201" s="26"/>
      <c r="AH1201" s="26"/>
      <c r="AI1201" s="26"/>
      <c r="AJ1201" s="26"/>
      <c r="AK1201" s="26"/>
      <c r="AL1201" s="26"/>
      <c r="AM1201" s="26"/>
      <c r="AN1201" s="26"/>
      <c r="AO1201" s="26"/>
      <c r="AP1201" s="26"/>
      <c r="AQ1201" s="26"/>
      <c r="AR1201" s="26"/>
      <c r="AS1201" s="26"/>
      <c r="AT1201" s="26"/>
      <c r="AU1201" s="26"/>
      <c r="AV1201" s="26"/>
      <c r="AW1201" s="26"/>
      <c r="AX1201" s="26"/>
      <c r="AY1201" s="26"/>
    </row>
    <row r="1202" spans="1:51">
      <c r="B1202" s="31"/>
      <c r="C1202" s="50"/>
      <c r="D1202" s="50"/>
      <c r="J1202" s="16"/>
      <c r="S1202" s="26"/>
      <c r="T1202" s="26"/>
      <c r="U1202" s="26"/>
      <c r="V1202" s="26"/>
      <c r="W1202" s="26"/>
      <c r="X1202" s="26"/>
      <c r="Y1202" s="26"/>
      <c r="Z1202" s="26"/>
      <c r="AA1202" s="26"/>
      <c r="AB1202" s="26"/>
      <c r="AC1202" s="26"/>
      <c r="AD1202" s="26"/>
      <c r="AE1202" s="26"/>
      <c r="AF1202" s="26"/>
      <c r="AG1202" s="26"/>
      <c r="AH1202" s="26"/>
      <c r="AI1202" s="26"/>
      <c r="AJ1202" s="26"/>
      <c r="AK1202" s="26"/>
      <c r="AL1202" s="26"/>
      <c r="AM1202" s="26"/>
      <c r="AN1202" s="26"/>
      <c r="AO1202" s="26"/>
      <c r="AP1202" s="26"/>
      <c r="AQ1202" s="26"/>
      <c r="AR1202" s="26"/>
      <c r="AS1202" s="26"/>
      <c r="AT1202" s="26"/>
      <c r="AU1202" s="26"/>
      <c r="AV1202" s="26"/>
      <c r="AW1202" s="26"/>
      <c r="AX1202" s="26"/>
      <c r="AY1202" s="26"/>
    </row>
    <row r="1203" spans="1:51">
      <c r="C1203" s="50"/>
      <c r="D1203" s="50"/>
      <c r="J1203" s="16"/>
      <c r="S1203" s="26"/>
      <c r="T1203" s="26"/>
      <c r="U1203" s="26"/>
      <c r="V1203" s="26"/>
      <c r="W1203" s="26"/>
      <c r="X1203" s="26"/>
      <c r="Y1203" s="26"/>
      <c r="Z1203" s="26"/>
      <c r="AA1203" s="26"/>
      <c r="AB1203" s="26"/>
      <c r="AC1203" s="26"/>
      <c r="AD1203" s="26"/>
      <c r="AE1203" s="26"/>
      <c r="AF1203" s="26"/>
      <c r="AG1203" s="26"/>
      <c r="AH1203" s="26"/>
      <c r="AI1203" s="26"/>
      <c r="AJ1203" s="26"/>
      <c r="AK1203" s="26"/>
      <c r="AL1203" s="26"/>
      <c r="AM1203" s="26"/>
      <c r="AN1203" s="26"/>
      <c r="AO1203" s="26"/>
      <c r="AP1203" s="26"/>
      <c r="AQ1203" s="26"/>
      <c r="AR1203" s="26"/>
      <c r="AS1203" s="26"/>
      <c r="AT1203" s="26"/>
      <c r="AU1203" s="26"/>
      <c r="AV1203" s="26"/>
      <c r="AW1203" s="26"/>
      <c r="AX1203" s="26"/>
      <c r="AY1203" s="26"/>
    </row>
    <row r="1204" spans="1:51">
      <c r="C1204" s="50"/>
      <c r="D1204" s="50"/>
      <c r="J1204" s="16"/>
      <c r="S1204" s="26"/>
      <c r="T1204" s="26"/>
      <c r="U1204" s="26"/>
      <c r="V1204" s="26"/>
      <c r="W1204" s="26"/>
      <c r="X1204" s="26"/>
      <c r="Y1204" s="26"/>
      <c r="Z1204" s="26"/>
      <c r="AA1204" s="26"/>
      <c r="AB1204" s="26"/>
      <c r="AC1204" s="26"/>
      <c r="AD1204" s="26"/>
      <c r="AE1204" s="26"/>
      <c r="AF1204" s="26"/>
      <c r="AG1204" s="26"/>
      <c r="AH1204" s="26"/>
      <c r="AI1204" s="26"/>
      <c r="AJ1204" s="26"/>
      <c r="AK1204" s="26"/>
      <c r="AL1204" s="26"/>
      <c r="AM1204" s="26"/>
      <c r="AN1204" s="26"/>
      <c r="AO1204" s="26"/>
      <c r="AP1204" s="26"/>
      <c r="AQ1204" s="26"/>
      <c r="AR1204" s="26"/>
      <c r="AS1204" s="26"/>
      <c r="AT1204" s="26"/>
      <c r="AU1204" s="26"/>
      <c r="AV1204" s="26"/>
      <c r="AW1204" s="26"/>
      <c r="AX1204" s="26"/>
      <c r="AY1204" s="26"/>
    </row>
    <row r="1205" spans="1:51">
      <c r="B1205" s="31"/>
      <c r="C1205" s="50"/>
      <c r="D1205" s="50"/>
      <c r="J1205" s="16"/>
      <c r="S1205" s="26"/>
      <c r="T1205" s="26"/>
      <c r="U1205" s="26"/>
      <c r="V1205" s="26"/>
      <c r="W1205" s="26"/>
      <c r="X1205" s="26"/>
      <c r="Y1205" s="26"/>
      <c r="Z1205" s="26"/>
      <c r="AA1205" s="26"/>
      <c r="AB1205" s="26"/>
      <c r="AC1205" s="26"/>
      <c r="AD1205" s="26"/>
      <c r="AE1205" s="26"/>
      <c r="AF1205" s="26"/>
      <c r="AG1205" s="26"/>
      <c r="AH1205" s="26"/>
      <c r="AI1205" s="26"/>
      <c r="AJ1205" s="26"/>
      <c r="AK1205" s="26"/>
      <c r="AL1205" s="26"/>
      <c r="AM1205" s="26"/>
      <c r="AN1205" s="26"/>
      <c r="AO1205" s="26"/>
      <c r="AP1205" s="26"/>
      <c r="AQ1205" s="26"/>
      <c r="AR1205" s="26"/>
      <c r="AS1205" s="26"/>
      <c r="AT1205" s="26"/>
      <c r="AU1205" s="26"/>
      <c r="AV1205" s="26"/>
      <c r="AW1205" s="26"/>
      <c r="AX1205" s="26"/>
      <c r="AY1205" s="26"/>
    </row>
    <row r="1206" spans="1:51">
      <c r="C1206" s="50"/>
      <c r="D1206" s="50"/>
      <c r="J1206" s="16"/>
      <c r="S1206" s="26"/>
      <c r="T1206" s="26"/>
      <c r="U1206" s="26"/>
      <c r="V1206" s="26"/>
      <c r="W1206" s="26"/>
      <c r="X1206" s="26"/>
      <c r="Y1206" s="26"/>
      <c r="Z1206" s="26"/>
      <c r="AA1206" s="26"/>
      <c r="AB1206" s="26"/>
      <c r="AC1206" s="26"/>
      <c r="AD1206" s="26"/>
      <c r="AE1206" s="26"/>
      <c r="AF1206" s="26"/>
      <c r="AG1206" s="26"/>
      <c r="AH1206" s="26"/>
      <c r="AI1206" s="26"/>
      <c r="AJ1206" s="26"/>
      <c r="AK1206" s="26"/>
      <c r="AL1206" s="26"/>
      <c r="AM1206" s="26"/>
      <c r="AN1206" s="26"/>
      <c r="AO1206" s="26"/>
      <c r="AP1206" s="26"/>
      <c r="AQ1206" s="26"/>
      <c r="AR1206" s="26"/>
      <c r="AS1206" s="26"/>
      <c r="AT1206" s="26"/>
      <c r="AU1206" s="26"/>
      <c r="AV1206" s="26"/>
      <c r="AW1206" s="26"/>
      <c r="AX1206" s="26"/>
      <c r="AY1206" s="26"/>
    </row>
    <row r="1207" spans="1:51">
      <c r="B1207" s="31"/>
      <c r="C1207" s="50"/>
      <c r="D1207" s="50"/>
      <c r="J1207" s="16"/>
      <c r="S1207" s="26"/>
      <c r="T1207" s="26"/>
      <c r="U1207" s="26"/>
      <c r="V1207" s="26"/>
      <c r="W1207" s="26"/>
      <c r="X1207" s="26"/>
      <c r="Y1207" s="26"/>
      <c r="Z1207" s="26"/>
      <c r="AA1207" s="26"/>
      <c r="AB1207" s="26"/>
      <c r="AC1207" s="26"/>
      <c r="AD1207" s="26"/>
      <c r="AE1207" s="26"/>
      <c r="AF1207" s="26"/>
      <c r="AG1207" s="26"/>
      <c r="AH1207" s="26"/>
      <c r="AI1207" s="26"/>
      <c r="AJ1207" s="26"/>
      <c r="AK1207" s="26"/>
      <c r="AL1207" s="26"/>
      <c r="AM1207" s="26"/>
      <c r="AN1207" s="26"/>
      <c r="AO1207" s="26"/>
      <c r="AP1207" s="26"/>
      <c r="AQ1207" s="26"/>
      <c r="AR1207" s="26"/>
      <c r="AS1207" s="26"/>
      <c r="AT1207" s="26"/>
      <c r="AU1207" s="26"/>
      <c r="AV1207" s="26"/>
      <c r="AW1207" s="26"/>
      <c r="AX1207" s="26"/>
      <c r="AY1207" s="26"/>
    </row>
    <row r="1208" spans="1:51">
      <c r="S1208" s="26"/>
      <c r="T1208" s="26"/>
      <c r="U1208" s="26"/>
      <c r="V1208" s="26"/>
      <c r="W1208" s="26"/>
      <c r="X1208" s="26"/>
      <c r="Y1208" s="26"/>
      <c r="Z1208" s="26"/>
      <c r="AA1208" s="26"/>
      <c r="AB1208" s="26"/>
      <c r="AC1208" s="26"/>
      <c r="AD1208" s="26"/>
      <c r="AE1208" s="26"/>
      <c r="AF1208" s="26"/>
      <c r="AG1208" s="26"/>
      <c r="AH1208" s="26"/>
      <c r="AI1208" s="26"/>
      <c r="AJ1208" s="26"/>
      <c r="AK1208" s="26"/>
      <c r="AL1208" s="26"/>
      <c r="AM1208" s="26"/>
      <c r="AN1208" s="26"/>
      <c r="AO1208" s="26"/>
      <c r="AP1208" s="26"/>
      <c r="AQ1208" s="26"/>
      <c r="AR1208" s="26"/>
      <c r="AS1208" s="26"/>
      <c r="AT1208" s="26"/>
      <c r="AU1208" s="26"/>
      <c r="AV1208" s="26"/>
      <c r="AW1208" s="26"/>
      <c r="AX1208" s="26"/>
      <c r="AY1208" s="26"/>
    </row>
    <row r="1209" spans="1:51">
      <c r="S1209" s="26"/>
      <c r="T1209" s="26"/>
      <c r="U1209" s="26"/>
      <c r="V1209" s="26"/>
      <c r="W1209" s="26"/>
      <c r="X1209" s="26"/>
      <c r="Y1209" s="26"/>
      <c r="Z1209" s="26"/>
      <c r="AA1209" s="26"/>
      <c r="AB1209" s="26"/>
      <c r="AC1209" s="26"/>
      <c r="AD1209" s="26"/>
      <c r="AE1209" s="26"/>
      <c r="AF1209" s="26"/>
      <c r="AG1209" s="26"/>
      <c r="AH1209" s="26"/>
      <c r="AI1209" s="26"/>
      <c r="AJ1209" s="26"/>
      <c r="AK1209" s="26"/>
      <c r="AL1209" s="26"/>
      <c r="AM1209" s="26"/>
      <c r="AN1209" s="26"/>
      <c r="AO1209" s="26"/>
      <c r="AP1209" s="26"/>
      <c r="AQ1209" s="26"/>
      <c r="AR1209" s="26"/>
      <c r="AS1209" s="26"/>
      <c r="AT1209" s="26"/>
      <c r="AU1209" s="26"/>
      <c r="AV1209" s="26"/>
      <c r="AW1209" s="26"/>
      <c r="AX1209" s="26"/>
      <c r="AY1209" s="26"/>
    </row>
    <row r="1210" spans="1:51" ht="12.75" customHeight="1">
      <c r="A1210" s="26"/>
      <c r="B1210" s="66"/>
      <c r="C1210" s="67"/>
      <c r="D1210" s="67"/>
      <c r="E1210" s="26"/>
      <c r="F1210" s="26"/>
      <c r="G1210" s="26"/>
      <c r="H1210" s="26"/>
      <c r="I1210" s="26"/>
      <c r="J1210" s="26"/>
      <c r="K1210" s="26"/>
      <c r="L1210" s="26"/>
      <c r="M1210" s="26"/>
      <c r="N1210" s="26"/>
      <c r="O1210" s="26"/>
      <c r="P1210" s="26"/>
      <c r="Q1210" s="26"/>
      <c r="R1210" s="26"/>
      <c r="S1210" s="26"/>
      <c r="T1210" s="26"/>
      <c r="U1210" s="26"/>
      <c r="V1210" s="26"/>
      <c r="W1210" s="26"/>
      <c r="X1210" s="26"/>
      <c r="Y1210" s="26"/>
      <c r="Z1210" s="26"/>
      <c r="AA1210" s="26"/>
      <c r="AB1210" s="26"/>
      <c r="AC1210" s="26"/>
      <c r="AD1210" s="26"/>
      <c r="AE1210" s="26"/>
      <c r="AF1210" s="26"/>
      <c r="AG1210" s="26"/>
      <c r="AH1210" s="26"/>
      <c r="AI1210" s="26"/>
      <c r="AJ1210" s="26"/>
      <c r="AK1210" s="26"/>
      <c r="AL1210" s="26"/>
      <c r="AM1210" s="26"/>
      <c r="AN1210" s="26"/>
      <c r="AO1210" s="26"/>
      <c r="AP1210" s="26"/>
      <c r="AQ1210" s="26"/>
      <c r="AR1210" s="26"/>
      <c r="AS1210" s="26"/>
      <c r="AT1210" s="26"/>
      <c r="AU1210" s="26"/>
      <c r="AV1210" s="26"/>
      <c r="AW1210" s="26"/>
      <c r="AX1210" s="26"/>
      <c r="AY1210" s="26"/>
    </row>
    <row r="1211" spans="1:51" ht="12.75" customHeight="1">
      <c r="A1211" s="26"/>
      <c r="B1211" s="66"/>
      <c r="C1211" s="67"/>
      <c r="D1211" s="67"/>
      <c r="E1211" s="26"/>
      <c r="F1211" s="26"/>
      <c r="G1211" s="26"/>
      <c r="H1211" s="26"/>
      <c r="I1211" s="26"/>
      <c r="J1211" s="26"/>
      <c r="K1211" s="26"/>
      <c r="L1211" s="26"/>
      <c r="M1211" s="26"/>
      <c r="N1211" s="26"/>
      <c r="O1211" s="26"/>
      <c r="P1211" s="26"/>
      <c r="Q1211" s="26"/>
      <c r="R1211" s="26"/>
      <c r="S1211" s="26"/>
      <c r="T1211" s="26"/>
      <c r="U1211" s="26"/>
      <c r="V1211" s="26"/>
      <c r="W1211" s="26"/>
      <c r="X1211" s="26"/>
      <c r="Y1211" s="26"/>
      <c r="Z1211" s="26"/>
      <c r="AA1211" s="26"/>
      <c r="AB1211" s="26"/>
      <c r="AC1211" s="26"/>
      <c r="AD1211" s="26"/>
      <c r="AE1211" s="26"/>
      <c r="AF1211" s="26"/>
      <c r="AG1211" s="26"/>
      <c r="AH1211" s="26"/>
      <c r="AI1211" s="26"/>
      <c r="AJ1211" s="26"/>
      <c r="AK1211" s="26"/>
      <c r="AL1211" s="26"/>
      <c r="AM1211" s="26"/>
      <c r="AN1211" s="26"/>
      <c r="AO1211" s="26"/>
      <c r="AP1211" s="26"/>
      <c r="AQ1211" s="26"/>
      <c r="AR1211" s="26"/>
      <c r="AS1211" s="26"/>
      <c r="AT1211" s="26"/>
      <c r="AU1211" s="26"/>
      <c r="AV1211" s="26"/>
      <c r="AW1211" s="26"/>
      <c r="AX1211" s="26"/>
      <c r="AY1211" s="26"/>
    </row>
    <row r="1212" spans="1:51" ht="12.75" customHeight="1">
      <c r="A1212" s="26"/>
      <c r="B1212" s="66"/>
      <c r="C1212" s="67"/>
      <c r="D1212" s="67"/>
      <c r="E1212" s="26"/>
      <c r="F1212" s="26"/>
      <c r="G1212" s="26"/>
      <c r="H1212" s="26"/>
      <c r="I1212" s="26"/>
      <c r="J1212" s="26"/>
      <c r="K1212" s="26"/>
      <c r="L1212" s="26"/>
      <c r="M1212" s="26"/>
      <c r="N1212" s="26"/>
      <c r="O1212" s="26"/>
      <c r="P1212" s="26"/>
      <c r="Q1212" s="26"/>
      <c r="R1212" s="26"/>
      <c r="S1212" s="26"/>
      <c r="T1212" s="26"/>
      <c r="U1212" s="26"/>
      <c r="V1212" s="26"/>
      <c r="W1212" s="26"/>
      <c r="X1212" s="26"/>
      <c r="Y1212" s="26"/>
      <c r="Z1212" s="26"/>
      <c r="AA1212" s="26"/>
      <c r="AB1212" s="26"/>
      <c r="AC1212" s="26"/>
      <c r="AD1212" s="26"/>
      <c r="AE1212" s="26"/>
      <c r="AF1212" s="26"/>
      <c r="AG1212" s="26"/>
      <c r="AH1212" s="26"/>
      <c r="AI1212" s="26"/>
      <c r="AJ1212" s="26"/>
      <c r="AK1212" s="26"/>
      <c r="AL1212" s="26"/>
      <c r="AM1212" s="26"/>
      <c r="AN1212" s="26"/>
      <c r="AO1212" s="26"/>
      <c r="AP1212" s="26"/>
      <c r="AQ1212" s="26"/>
      <c r="AR1212" s="26"/>
      <c r="AS1212" s="26"/>
      <c r="AT1212" s="26"/>
      <c r="AU1212" s="26"/>
      <c r="AV1212" s="26"/>
      <c r="AW1212" s="26"/>
      <c r="AX1212" s="26"/>
      <c r="AY1212" s="26"/>
    </row>
    <row r="1213" spans="1:51" ht="12.75" customHeight="1">
      <c r="A1213" s="26"/>
      <c r="B1213" s="66"/>
      <c r="C1213" s="67"/>
      <c r="D1213" s="67"/>
      <c r="E1213" s="26"/>
      <c r="F1213" s="26"/>
      <c r="G1213" s="26"/>
      <c r="H1213" s="26"/>
      <c r="I1213" s="26"/>
      <c r="J1213" s="26"/>
      <c r="K1213" s="26"/>
      <c r="L1213" s="26"/>
      <c r="M1213" s="26"/>
      <c r="N1213" s="26"/>
      <c r="O1213" s="26"/>
      <c r="P1213" s="26"/>
      <c r="Q1213" s="26"/>
      <c r="R1213" s="26"/>
      <c r="S1213" s="26"/>
      <c r="T1213" s="26"/>
      <c r="U1213" s="26"/>
      <c r="V1213" s="26"/>
      <c r="W1213" s="26"/>
      <c r="X1213" s="26"/>
      <c r="Y1213" s="26"/>
      <c r="Z1213" s="26"/>
      <c r="AA1213" s="26"/>
      <c r="AB1213" s="26"/>
      <c r="AC1213" s="26"/>
      <c r="AD1213" s="26"/>
      <c r="AE1213" s="26"/>
      <c r="AF1213" s="26"/>
      <c r="AG1213" s="26"/>
      <c r="AH1213" s="26"/>
      <c r="AI1213" s="26"/>
      <c r="AJ1213" s="26"/>
      <c r="AK1213" s="26"/>
      <c r="AL1213" s="26"/>
      <c r="AM1213" s="26"/>
      <c r="AN1213" s="26"/>
      <c r="AO1213" s="26"/>
      <c r="AP1213" s="26"/>
      <c r="AQ1213" s="26"/>
      <c r="AR1213" s="26"/>
      <c r="AS1213" s="26"/>
      <c r="AT1213" s="26"/>
      <c r="AU1213" s="26"/>
      <c r="AV1213" s="26"/>
      <c r="AW1213" s="26"/>
      <c r="AX1213" s="26"/>
      <c r="AY1213" s="26"/>
    </row>
    <row r="1214" spans="1:51" ht="12.75" customHeight="1">
      <c r="A1214" s="26"/>
      <c r="B1214" s="66"/>
      <c r="C1214" s="67"/>
      <c r="D1214" s="67"/>
      <c r="E1214" s="26"/>
      <c r="F1214" s="26"/>
      <c r="G1214" s="26"/>
      <c r="H1214" s="26"/>
      <c r="I1214" s="26"/>
      <c r="J1214" s="26"/>
      <c r="K1214" s="26"/>
      <c r="L1214" s="26"/>
      <c r="M1214" s="26"/>
      <c r="N1214" s="26"/>
      <c r="O1214" s="26"/>
      <c r="P1214" s="26"/>
      <c r="Q1214" s="26"/>
      <c r="R1214" s="26"/>
      <c r="S1214" s="26"/>
      <c r="T1214" s="26"/>
      <c r="U1214" s="26"/>
      <c r="V1214" s="26"/>
      <c r="W1214" s="26"/>
      <c r="X1214" s="26"/>
      <c r="Y1214" s="26"/>
      <c r="Z1214" s="26"/>
      <c r="AA1214" s="26"/>
      <c r="AB1214" s="26"/>
      <c r="AC1214" s="26"/>
      <c r="AD1214" s="26"/>
      <c r="AE1214" s="26"/>
      <c r="AF1214" s="26"/>
      <c r="AG1214" s="26"/>
      <c r="AH1214" s="26"/>
      <c r="AI1214" s="26"/>
      <c r="AJ1214" s="26"/>
      <c r="AK1214" s="26"/>
      <c r="AL1214" s="26"/>
      <c r="AM1214" s="26"/>
      <c r="AN1214" s="26"/>
      <c r="AO1214" s="26"/>
      <c r="AP1214" s="26"/>
      <c r="AQ1214" s="26"/>
      <c r="AR1214" s="26"/>
      <c r="AS1214" s="26"/>
      <c r="AT1214" s="26"/>
      <c r="AU1214" s="26"/>
      <c r="AV1214" s="26"/>
      <c r="AW1214" s="26"/>
      <c r="AX1214" s="26"/>
      <c r="AY1214" s="26"/>
    </row>
    <row r="1215" spans="1:51" ht="12.75" customHeight="1">
      <c r="A1215" s="26"/>
      <c r="B1215" s="66"/>
      <c r="C1215" s="67"/>
      <c r="D1215" s="67"/>
      <c r="E1215" s="26"/>
      <c r="F1215" s="26"/>
      <c r="G1215" s="26"/>
      <c r="H1215" s="26"/>
      <c r="I1215" s="26"/>
      <c r="J1215" s="26"/>
      <c r="K1215" s="26"/>
      <c r="L1215" s="26"/>
      <c r="M1215" s="26"/>
      <c r="N1215" s="26"/>
      <c r="O1215" s="26"/>
      <c r="P1215" s="26"/>
      <c r="Q1215" s="26"/>
      <c r="R1215" s="26"/>
      <c r="S1215" s="26"/>
      <c r="T1215" s="26"/>
      <c r="U1215" s="26"/>
      <c r="V1215" s="26"/>
      <c r="W1215" s="26"/>
      <c r="X1215" s="26"/>
      <c r="Y1215" s="26"/>
      <c r="Z1215" s="26"/>
      <c r="AA1215" s="26"/>
      <c r="AB1215" s="26"/>
      <c r="AC1215" s="26"/>
      <c r="AD1215" s="26"/>
      <c r="AE1215" s="26"/>
      <c r="AF1215" s="26"/>
      <c r="AG1215" s="26"/>
      <c r="AH1215" s="26"/>
      <c r="AI1215" s="26"/>
      <c r="AJ1215" s="26"/>
      <c r="AK1215" s="26"/>
      <c r="AL1215" s="26"/>
      <c r="AM1215" s="26"/>
      <c r="AN1215" s="26"/>
      <c r="AO1215" s="26"/>
      <c r="AP1215" s="26"/>
      <c r="AQ1215" s="26"/>
      <c r="AR1215" s="26"/>
      <c r="AS1215" s="26"/>
      <c r="AT1215" s="26"/>
      <c r="AU1215" s="26"/>
      <c r="AV1215" s="26"/>
      <c r="AW1215" s="26"/>
      <c r="AX1215" s="26"/>
      <c r="AY1215" s="26"/>
    </row>
    <row r="1216" spans="1:51" ht="12.75" customHeight="1">
      <c r="A1216" s="26"/>
      <c r="B1216" s="66"/>
      <c r="C1216" s="67"/>
      <c r="D1216" s="67"/>
      <c r="E1216" s="26"/>
      <c r="F1216" s="26"/>
      <c r="G1216" s="26"/>
      <c r="H1216" s="26"/>
      <c r="I1216" s="26"/>
      <c r="J1216" s="26"/>
      <c r="K1216" s="26"/>
      <c r="L1216" s="26"/>
      <c r="M1216" s="26"/>
      <c r="N1216" s="26"/>
      <c r="O1216" s="26"/>
      <c r="P1216" s="26"/>
      <c r="Q1216" s="26"/>
      <c r="R1216" s="26"/>
      <c r="S1216" s="26"/>
      <c r="T1216" s="26"/>
      <c r="U1216" s="26"/>
      <c r="V1216" s="26"/>
      <c r="W1216" s="26"/>
      <c r="X1216" s="26"/>
      <c r="Y1216" s="26"/>
      <c r="Z1216" s="26"/>
      <c r="AA1216" s="26"/>
      <c r="AB1216" s="26"/>
      <c r="AC1216" s="26"/>
      <c r="AD1216" s="26"/>
      <c r="AE1216" s="26"/>
      <c r="AF1216" s="26"/>
      <c r="AG1216" s="26"/>
      <c r="AH1216" s="26"/>
      <c r="AI1216" s="26"/>
      <c r="AJ1216" s="26"/>
      <c r="AK1216" s="26"/>
      <c r="AL1216" s="26"/>
      <c r="AM1216" s="26"/>
      <c r="AN1216" s="26"/>
      <c r="AO1216" s="26"/>
      <c r="AP1216" s="26"/>
      <c r="AQ1216" s="26"/>
      <c r="AR1216" s="26"/>
      <c r="AS1216" s="26"/>
      <c r="AT1216" s="26"/>
      <c r="AU1216" s="26"/>
      <c r="AV1216" s="26"/>
      <c r="AW1216" s="26"/>
      <c r="AX1216" s="26"/>
      <c r="AY1216" s="26"/>
    </row>
    <row r="1217" spans="1:51" ht="12.75" customHeight="1">
      <c r="A1217" s="26"/>
      <c r="B1217" s="66"/>
      <c r="C1217" s="67"/>
      <c r="D1217" s="67"/>
      <c r="E1217" s="26"/>
      <c r="F1217" s="26"/>
      <c r="G1217" s="26"/>
      <c r="H1217" s="26"/>
      <c r="I1217" s="26"/>
      <c r="J1217" s="26"/>
      <c r="K1217" s="26"/>
      <c r="L1217" s="26"/>
      <c r="M1217" s="26"/>
      <c r="N1217" s="26"/>
      <c r="O1217" s="26"/>
      <c r="P1217" s="26"/>
      <c r="Q1217" s="26"/>
      <c r="R1217" s="26"/>
      <c r="S1217" s="26"/>
      <c r="T1217" s="26"/>
      <c r="U1217" s="26"/>
      <c r="V1217" s="26"/>
      <c r="W1217" s="26"/>
      <c r="X1217" s="26"/>
      <c r="Y1217" s="26"/>
      <c r="Z1217" s="26"/>
      <c r="AA1217" s="26"/>
      <c r="AB1217" s="26"/>
      <c r="AC1217" s="26"/>
      <c r="AD1217" s="26"/>
      <c r="AE1217" s="26"/>
      <c r="AF1217" s="26"/>
      <c r="AG1217" s="26"/>
      <c r="AH1217" s="26"/>
      <c r="AI1217" s="26"/>
      <c r="AJ1217" s="26"/>
      <c r="AK1217" s="26"/>
      <c r="AL1217" s="26"/>
      <c r="AM1217" s="26"/>
      <c r="AN1217" s="26"/>
      <c r="AO1217" s="26"/>
      <c r="AP1217" s="26"/>
      <c r="AQ1217" s="26"/>
      <c r="AR1217" s="26"/>
      <c r="AS1217" s="26"/>
      <c r="AT1217" s="26"/>
      <c r="AU1217" s="26"/>
      <c r="AV1217" s="26"/>
      <c r="AW1217" s="26"/>
      <c r="AX1217" s="26"/>
      <c r="AY1217" s="26"/>
    </row>
    <row r="1218" spans="1:51" ht="12.75" customHeight="1">
      <c r="A1218" s="26"/>
      <c r="B1218" s="66"/>
      <c r="C1218" s="67"/>
      <c r="D1218" s="67"/>
      <c r="E1218" s="26"/>
      <c r="F1218" s="26"/>
      <c r="G1218" s="26"/>
      <c r="H1218" s="26"/>
      <c r="I1218" s="26"/>
      <c r="J1218" s="26"/>
      <c r="K1218" s="26"/>
      <c r="L1218" s="26"/>
      <c r="M1218" s="26"/>
      <c r="N1218" s="26"/>
      <c r="O1218" s="26"/>
      <c r="P1218" s="26"/>
      <c r="Q1218" s="26"/>
      <c r="R1218" s="26"/>
      <c r="S1218" s="26"/>
      <c r="T1218" s="26"/>
      <c r="U1218" s="26"/>
      <c r="V1218" s="26"/>
      <c r="W1218" s="26"/>
      <c r="X1218" s="26"/>
      <c r="Y1218" s="26"/>
      <c r="Z1218" s="26"/>
      <c r="AA1218" s="26"/>
      <c r="AB1218" s="26"/>
      <c r="AC1218" s="26"/>
      <c r="AD1218" s="26"/>
      <c r="AE1218" s="26"/>
      <c r="AF1218" s="26"/>
      <c r="AG1218" s="26"/>
      <c r="AH1218" s="26"/>
      <c r="AI1218" s="26"/>
      <c r="AJ1218" s="26"/>
      <c r="AK1218" s="26"/>
      <c r="AL1218" s="26"/>
      <c r="AM1218" s="26"/>
      <c r="AN1218" s="26"/>
      <c r="AO1218" s="26"/>
      <c r="AP1218" s="26"/>
      <c r="AQ1218" s="26"/>
      <c r="AR1218" s="26"/>
      <c r="AS1218" s="26"/>
      <c r="AT1218" s="26"/>
      <c r="AU1218" s="26"/>
      <c r="AV1218" s="26"/>
      <c r="AW1218" s="26"/>
      <c r="AX1218" s="26"/>
      <c r="AY1218" s="26"/>
    </row>
    <row r="1219" spans="1:51" ht="12.75" customHeight="1">
      <c r="A1219" s="26"/>
      <c r="B1219" s="66"/>
      <c r="C1219" s="67"/>
      <c r="D1219" s="67"/>
      <c r="E1219" s="26"/>
      <c r="F1219" s="26"/>
      <c r="G1219" s="26"/>
      <c r="H1219" s="26"/>
      <c r="I1219" s="26"/>
      <c r="J1219" s="26"/>
      <c r="K1219" s="26"/>
      <c r="L1219" s="26"/>
      <c r="M1219" s="26"/>
      <c r="N1219" s="26"/>
      <c r="O1219" s="26"/>
      <c r="P1219" s="26"/>
      <c r="Q1219" s="26"/>
      <c r="R1219" s="26"/>
      <c r="S1219" s="26"/>
      <c r="T1219" s="26"/>
      <c r="U1219" s="26"/>
      <c r="V1219" s="26"/>
      <c r="W1219" s="26"/>
      <c r="X1219" s="26"/>
      <c r="Y1219" s="26"/>
      <c r="Z1219" s="26"/>
      <c r="AA1219" s="26"/>
      <c r="AB1219" s="26"/>
      <c r="AC1219" s="26"/>
      <c r="AD1219" s="26"/>
      <c r="AE1219" s="26"/>
      <c r="AF1219" s="26"/>
      <c r="AG1219" s="26"/>
      <c r="AH1219" s="26"/>
      <c r="AI1219" s="26"/>
      <c r="AJ1219" s="26"/>
      <c r="AK1219" s="26"/>
      <c r="AL1219" s="26"/>
      <c r="AM1219" s="26"/>
      <c r="AN1219" s="26"/>
      <c r="AO1219" s="26"/>
      <c r="AP1219" s="26"/>
      <c r="AQ1219" s="26"/>
      <c r="AR1219" s="26"/>
      <c r="AS1219" s="26"/>
      <c r="AT1219" s="26"/>
      <c r="AU1219" s="26"/>
      <c r="AV1219" s="26"/>
      <c r="AW1219" s="26"/>
      <c r="AX1219" s="26"/>
      <c r="AY1219" s="26"/>
    </row>
    <row r="1220" spans="1:51" ht="12.75" customHeight="1">
      <c r="A1220" s="26"/>
      <c r="B1220" s="66"/>
      <c r="C1220" s="67"/>
      <c r="D1220" s="67"/>
      <c r="E1220" s="26"/>
      <c r="F1220" s="26"/>
      <c r="G1220" s="26"/>
      <c r="H1220" s="26"/>
      <c r="I1220" s="26"/>
      <c r="J1220" s="26"/>
      <c r="K1220" s="26"/>
      <c r="L1220" s="26"/>
      <c r="M1220" s="26"/>
      <c r="N1220" s="26"/>
      <c r="O1220" s="26"/>
      <c r="P1220" s="26"/>
      <c r="Q1220" s="26"/>
      <c r="R1220" s="26"/>
      <c r="S1220" s="26"/>
      <c r="T1220" s="26"/>
      <c r="U1220" s="26"/>
      <c r="V1220" s="26"/>
      <c r="W1220" s="26"/>
      <c r="X1220" s="26"/>
      <c r="Y1220" s="26"/>
      <c r="Z1220" s="26"/>
      <c r="AA1220" s="26"/>
      <c r="AB1220" s="26"/>
      <c r="AC1220" s="26"/>
      <c r="AD1220" s="26"/>
      <c r="AE1220" s="26"/>
      <c r="AF1220" s="26"/>
      <c r="AG1220" s="26"/>
      <c r="AH1220" s="26"/>
      <c r="AI1220" s="26"/>
      <c r="AJ1220" s="26"/>
      <c r="AK1220" s="26"/>
      <c r="AL1220" s="26"/>
      <c r="AM1220" s="26"/>
      <c r="AN1220" s="26"/>
      <c r="AO1220" s="26"/>
      <c r="AP1220" s="26"/>
      <c r="AQ1220" s="26"/>
      <c r="AR1220" s="26"/>
      <c r="AS1220" s="26"/>
      <c r="AT1220" s="26"/>
      <c r="AU1220" s="26"/>
      <c r="AV1220" s="26"/>
      <c r="AW1220" s="26"/>
      <c r="AX1220" s="26"/>
      <c r="AY1220" s="26"/>
    </row>
    <row r="1221" spans="1:51" ht="12.75" customHeight="1">
      <c r="A1221" s="26"/>
      <c r="B1221" s="66"/>
      <c r="C1221" s="67"/>
      <c r="D1221" s="67"/>
      <c r="E1221" s="26"/>
      <c r="F1221" s="26"/>
      <c r="G1221" s="26"/>
      <c r="H1221" s="26"/>
      <c r="I1221" s="26"/>
      <c r="J1221" s="26"/>
      <c r="K1221" s="26"/>
      <c r="L1221" s="26"/>
      <c r="M1221" s="26"/>
      <c r="N1221" s="26"/>
      <c r="O1221" s="26"/>
      <c r="P1221" s="26"/>
      <c r="Q1221" s="26"/>
      <c r="R1221" s="26"/>
      <c r="S1221" s="26"/>
      <c r="T1221" s="26"/>
      <c r="U1221" s="26"/>
      <c r="V1221" s="26"/>
      <c r="W1221" s="26"/>
      <c r="X1221" s="26"/>
      <c r="Y1221" s="26"/>
      <c r="Z1221" s="26"/>
      <c r="AA1221" s="26"/>
      <c r="AB1221" s="26"/>
      <c r="AC1221" s="26"/>
      <c r="AD1221" s="26"/>
      <c r="AE1221" s="26"/>
      <c r="AF1221" s="26"/>
      <c r="AG1221" s="26"/>
      <c r="AH1221" s="26"/>
      <c r="AI1221" s="26"/>
      <c r="AJ1221" s="26"/>
      <c r="AK1221" s="26"/>
      <c r="AL1221" s="26"/>
      <c r="AM1221" s="26"/>
      <c r="AN1221" s="26"/>
      <c r="AO1221" s="26"/>
      <c r="AP1221" s="26"/>
      <c r="AQ1221" s="26"/>
      <c r="AR1221" s="26"/>
      <c r="AS1221" s="26"/>
      <c r="AT1221" s="26"/>
      <c r="AU1221" s="26"/>
      <c r="AV1221" s="26"/>
      <c r="AW1221" s="26"/>
      <c r="AX1221" s="26"/>
      <c r="AY1221" s="26"/>
    </row>
    <row r="1222" spans="1:51" ht="12.75" customHeight="1">
      <c r="A1222" s="26"/>
      <c r="B1222" s="66"/>
      <c r="C1222" s="67"/>
      <c r="D1222" s="67"/>
      <c r="E1222" s="26"/>
      <c r="F1222" s="26"/>
      <c r="G1222" s="26"/>
      <c r="H1222" s="26"/>
      <c r="I1222" s="26"/>
      <c r="J1222" s="26"/>
      <c r="K1222" s="26"/>
      <c r="L1222" s="26"/>
      <c r="M1222" s="26"/>
      <c r="N1222" s="26"/>
      <c r="O1222" s="26"/>
      <c r="P1222" s="26"/>
      <c r="Q1222" s="26"/>
      <c r="R1222" s="26"/>
      <c r="S1222" s="26"/>
      <c r="T1222" s="26"/>
      <c r="U1222" s="26"/>
      <c r="V1222" s="26"/>
      <c r="W1222" s="26"/>
      <c r="X1222" s="26"/>
      <c r="Y1222" s="26"/>
      <c r="Z1222" s="26"/>
      <c r="AA1222" s="26"/>
      <c r="AB1222" s="26"/>
      <c r="AC1222" s="26"/>
      <c r="AD1222" s="26"/>
      <c r="AE1222" s="26"/>
      <c r="AF1222" s="26"/>
      <c r="AG1222" s="26"/>
      <c r="AH1222" s="26"/>
      <c r="AI1222" s="26"/>
      <c r="AJ1222" s="26"/>
      <c r="AK1222" s="26"/>
      <c r="AL1222" s="26"/>
      <c r="AM1222" s="26"/>
      <c r="AN1222" s="26"/>
      <c r="AO1222" s="26"/>
      <c r="AP1222" s="26"/>
      <c r="AQ1222" s="26"/>
      <c r="AR1222" s="26"/>
      <c r="AS1222" s="26"/>
      <c r="AT1222" s="26"/>
      <c r="AU1222" s="26"/>
      <c r="AV1222" s="26"/>
      <c r="AW1222" s="26"/>
      <c r="AX1222" s="26"/>
      <c r="AY1222" s="26"/>
    </row>
    <row r="1223" spans="1:51" ht="12.75" customHeight="1">
      <c r="A1223" s="26"/>
      <c r="B1223" s="66"/>
      <c r="C1223" s="67"/>
      <c r="D1223" s="67"/>
      <c r="E1223" s="26"/>
      <c r="F1223" s="26"/>
      <c r="G1223" s="26"/>
      <c r="H1223" s="26"/>
      <c r="I1223" s="26"/>
      <c r="J1223" s="26"/>
      <c r="K1223" s="26"/>
      <c r="L1223" s="26"/>
      <c r="M1223" s="26"/>
      <c r="N1223" s="26"/>
      <c r="O1223" s="26"/>
      <c r="P1223" s="26"/>
      <c r="Q1223" s="26"/>
      <c r="R1223" s="26"/>
      <c r="S1223" s="26"/>
      <c r="T1223" s="26"/>
      <c r="U1223" s="26"/>
      <c r="V1223" s="26"/>
      <c r="W1223" s="26"/>
      <c r="X1223" s="26"/>
      <c r="Y1223" s="26"/>
      <c r="Z1223" s="26"/>
      <c r="AA1223" s="26"/>
      <c r="AB1223" s="26"/>
      <c r="AC1223" s="26"/>
      <c r="AD1223" s="26"/>
      <c r="AE1223" s="26"/>
      <c r="AF1223" s="26"/>
      <c r="AG1223" s="26"/>
      <c r="AH1223" s="26"/>
      <c r="AI1223" s="26"/>
      <c r="AJ1223" s="26"/>
      <c r="AK1223" s="26"/>
      <c r="AL1223" s="26"/>
      <c r="AM1223" s="26"/>
      <c r="AN1223" s="26"/>
      <c r="AO1223" s="26"/>
      <c r="AP1223" s="26"/>
      <c r="AQ1223" s="26"/>
      <c r="AR1223" s="26"/>
      <c r="AS1223" s="26"/>
      <c r="AT1223" s="26"/>
      <c r="AU1223" s="26"/>
      <c r="AV1223" s="26"/>
      <c r="AW1223" s="26"/>
      <c r="AX1223" s="26"/>
      <c r="AY1223" s="26"/>
    </row>
    <row r="1224" spans="1:51" ht="12.75" customHeight="1">
      <c r="A1224" s="26"/>
      <c r="B1224" s="66"/>
      <c r="C1224" s="67"/>
      <c r="D1224" s="67"/>
      <c r="E1224" s="26"/>
      <c r="F1224" s="26"/>
      <c r="G1224" s="26"/>
      <c r="H1224" s="26"/>
      <c r="I1224" s="26"/>
      <c r="J1224" s="26"/>
      <c r="K1224" s="26"/>
      <c r="L1224" s="26"/>
      <c r="M1224" s="26"/>
      <c r="N1224" s="26"/>
      <c r="O1224" s="26"/>
      <c r="P1224" s="26"/>
      <c r="Q1224" s="26"/>
      <c r="R1224" s="26"/>
      <c r="S1224" s="26"/>
      <c r="T1224" s="26"/>
      <c r="U1224" s="26"/>
      <c r="V1224" s="26"/>
      <c r="W1224" s="26"/>
      <c r="X1224" s="26"/>
      <c r="Y1224" s="26"/>
      <c r="Z1224" s="26"/>
      <c r="AA1224" s="26"/>
      <c r="AB1224" s="26"/>
      <c r="AC1224" s="26"/>
      <c r="AD1224" s="26"/>
      <c r="AE1224" s="26"/>
      <c r="AF1224" s="26"/>
      <c r="AG1224" s="26"/>
      <c r="AH1224" s="26"/>
      <c r="AI1224" s="26"/>
      <c r="AJ1224" s="26"/>
      <c r="AK1224" s="26"/>
      <c r="AL1224" s="26"/>
      <c r="AM1224" s="26"/>
      <c r="AN1224" s="26"/>
      <c r="AO1224" s="26"/>
      <c r="AP1224" s="26"/>
      <c r="AQ1224" s="26"/>
      <c r="AR1224" s="26"/>
      <c r="AS1224" s="26"/>
      <c r="AT1224" s="26"/>
      <c r="AU1224" s="26"/>
      <c r="AV1224" s="26"/>
      <c r="AW1224" s="26"/>
      <c r="AX1224" s="26"/>
      <c r="AY1224" s="26"/>
    </row>
    <row r="1225" spans="1:51" ht="12.75" customHeight="1">
      <c r="A1225" s="26"/>
      <c r="B1225" s="66"/>
      <c r="C1225" s="67"/>
      <c r="D1225" s="67"/>
      <c r="E1225" s="26"/>
      <c r="F1225" s="26"/>
      <c r="G1225" s="26"/>
      <c r="H1225" s="26"/>
      <c r="I1225" s="26"/>
      <c r="J1225" s="26"/>
      <c r="K1225" s="26"/>
      <c r="L1225" s="26"/>
      <c r="M1225" s="26"/>
      <c r="N1225" s="26"/>
      <c r="O1225" s="26"/>
      <c r="P1225" s="26"/>
      <c r="Q1225" s="26"/>
      <c r="R1225" s="26"/>
      <c r="S1225" s="26"/>
      <c r="T1225" s="26"/>
      <c r="U1225" s="26"/>
      <c r="V1225" s="26"/>
      <c r="W1225" s="26"/>
      <c r="X1225" s="26"/>
      <c r="Y1225" s="26"/>
      <c r="Z1225" s="26"/>
      <c r="AA1225" s="26"/>
      <c r="AB1225" s="26"/>
      <c r="AC1225" s="26"/>
      <c r="AD1225" s="26"/>
      <c r="AE1225" s="26"/>
      <c r="AF1225" s="26"/>
      <c r="AG1225" s="26"/>
      <c r="AH1225" s="26"/>
      <c r="AI1225" s="26"/>
      <c r="AJ1225" s="26"/>
      <c r="AK1225" s="26"/>
      <c r="AL1225" s="26"/>
      <c r="AM1225" s="26"/>
      <c r="AN1225" s="26"/>
      <c r="AO1225" s="26"/>
      <c r="AP1225" s="26"/>
      <c r="AQ1225" s="26"/>
      <c r="AR1225" s="26"/>
      <c r="AS1225" s="26"/>
      <c r="AT1225" s="26"/>
      <c r="AU1225" s="26"/>
      <c r="AV1225" s="26"/>
      <c r="AW1225" s="26"/>
      <c r="AX1225" s="26"/>
      <c r="AY1225" s="26"/>
    </row>
    <row r="1226" spans="1:51" ht="12.75" customHeight="1">
      <c r="A1226" s="26"/>
      <c r="B1226" s="66"/>
      <c r="C1226" s="67"/>
      <c r="D1226" s="67"/>
      <c r="E1226" s="26"/>
      <c r="F1226" s="26"/>
      <c r="G1226" s="26"/>
      <c r="H1226" s="26"/>
      <c r="I1226" s="26"/>
      <c r="J1226" s="26"/>
      <c r="K1226" s="26"/>
      <c r="L1226" s="26"/>
      <c r="M1226" s="26"/>
      <c r="N1226" s="26"/>
      <c r="O1226" s="26"/>
      <c r="P1226" s="26"/>
      <c r="Q1226" s="26"/>
      <c r="R1226" s="26"/>
      <c r="S1226" s="26"/>
      <c r="T1226" s="26"/>
      <c r="U1226" s="26"/>
      <c r="V1226" s="26"/>
      <c r="W1226" s="26"/>
      <c r="X1226" s="26"/>
      <c r="Y1226" s="26"/>
      <c r="Z1226" s="26"/>
      <c r="AA1226" s="26"/>
      <c r="AB1226" s="26"/>
      <c r="AC1226" s="26"/>
      <c r="AD1226" s="26"/>
      <c r="AE1226" s="26"/>
      <c r="AF1226" s="26"/>
      <c r="AG1226" s="26"/>
      <c r="AH1226" s="26"/>
      <c r="AI1226" s="26"/>
      <c r="AJ1226" s="26"/>
      <c r="AK1226" s="26"/>
      <c r="AL1226" s="26"/>
      <c r="AM1226" s="26"/>
      <c r="AN1226" s="26"/>
      <c r="AO1226" s="26"/>
      <c r="AP1226" s="26"/>
      <c r="AQ1226" s="26"/>
      <c r="AR1226" s="26"/>
      <c r="AS1226" s="26"/>
      <c r="AT1226" s="26"/>
      <c r="AU1226" s="26"/>
      <c r="AV1226" s="26"/>
      <c r="AW1226" s="26"/>
      <c r="AX1226" s="26"/>
      <c r="AY1226" s="26"/>
    </row>
    <row r="1227" spans="1:51" ht="12.75" customHeight="1">
      <c r="A1227" s="26"/>
      <c r="B1227" s="66"/>
      <c r="C1227" s="67"/>
      <c r="D1227" s="67"/>
      <c r="E1227" s="26"/>
      <c r="F1227" s="26"/>
      <c r="G1227" s="26"/>
      <c r="H1227" s="26"/>
      <c r="I1227" s="26"/>
      <c r="J1227" s="26"/>
      <c r="K1227" s="26"/>
      <c r="L1227" s="26"/>
      <c r="M1227" s="26"/>
      <c r="N1227" s="26"/>
      <c r="O1227" s="26"/>
      <c r="P1227" s="26"/>
      <c r="Q1227" s="26"/>
      <c r="R1227" s="26"/>
      <c r="S1227" s="26"/>
      <c r="T1227" s="26"/>
      <c r="U1227" s="26"/>
      <c r="V1227" s="26"/>
      <c r="W1227" s="26"/>
      <c r="X1227" s="26"/>
      <c r="Y1227" s="26"/>
      <c r="Z1227" s="26"/>
      <c r="AA1227" s="26"/>
      <c r="AB1227" s="26"/>
      <c r="AC1227" s="26"/>
      <c r="AD1227" s="26"/>
      <c r="AE1227" s="26"/>
      <c r="AF1227" s="26"/>
      <c r="AG1227" s="26"/>
      <c r="AH1227" s="26"/>
      <c r="AI1227" s="26"/>
      <c r="AJ1227" s="26"/>
      <c r="AK1227" s="26"/>
      <c r="AL1227" s="26"/>
      <c r="AM1227" s="26"/>
      <c r="AN1227" s="26"/>
      <c r="AO1227" s="26"/>
      <c r="AP1227" s="26"/>
      <c r="AQ1227" s="26"/>
      <c r="AR1227" s="26"/>
      <c r="AS1227" s="26"/>
      <c r="AT1227" s="26"/>
      <c r="AU1227" s="26"/>
      <c r="AV1227" s="26"/>
      <c r="AW1227" s="26"/>
      <c r="AX1227" s="26"/>
      <c r="AY1227" s="26"/>
    </row>
    <row r="1228" spans="1:51" ht="12.75" customHeight="1">
      <c r="A1228" s="26"/>
      <c r="B1228" s="66"/>
      <c r="C1228" s="67"/>
      <c r="D1228" s="67"/>
      <c r="E1228" s="26"/>
      <c r="F1228" s="26"/>
      <c r="G1228" s="26"/>
      <c r="H1228" s="26"/>
      <c r="I1228" s="26"/>
      <c r="J1228" s="26"/>
      <c r="K1228" s="26"/>
      <c r="L1228" s="26"/>
      <c r="M1228" s="26"/>
      <c r="N1228" s="26"/>
      <c r="O1228" s="26"/>
      <c r="P1228" s="26"/>
      <c r="Q1228" s="26"/>
      <c r="R1228" s="26"/>
      <c r="S1228" s="26"/>
      <c r="T1228" s="26"/>
      <c r="U1228" s="26"/>
      <c r="V1228" s="26"/>
      <c r="W1228" s="26"/>
      <c r="X1228" s="26"/>
      <c r="Y1228" s="26"/>
      <c r="Z1228" s="26"/>
      <c r="AA1228" s="26"/>
      <c r="AB1228" s="26"/>
      <c r="AC1228" s="26"/>
      <c r="AD1228" s="26"/>
      <c r="AE1228" s="26"/>
      <c r="AF1228" s="26"/>
      <c r="AG1228" s="26"/>
      <c r="AH1228" s="26"/>
      <c r="AI1228" s="26"/>
      <c r="AJ1228" s="26"/>
      <c r="AK1228" s="26"/>
      <c r="AL1228" s="26"/>
      <c r="AM1228" s="26"/>
      <c r="AN1228" s="26"/>
      <c r="AO1228" s="26"/>
      <c r="AP1228" s="26"/>
      <c r="AQ1228" s="26"/>
      <c r="AR1228" s="26"/>
      <c r="AS1228" s="26"/>
      <c r="AT1228" s="26"/>
      <c r="AU1228" s="26"/>
      <c r="AV1228" s="26"/>
      <c r="AW1228" s="26"/>
      <c r="AX1228" s="26"/>
      <c r="AY1228" s="26"/>
    </row>
    <row r="1229" spans="1:51" ht="12.75" customHeight="1">
      <c r="A1229" s="26"/>
      <c r="B1229" s="66"/>
      <c r="C1229" s="67"/>
      <c r="D1229" s="67"/>
      <c r="E1229" s="26"/>
      <c r="F1229" s="26"/>
      <c r="G1229" s="26"/>
      <c r="H1229" s="26"/>
      <c r="I1229" s="26"/>
      <c r="J1229" s="26"/>
      <c r="K1229" s="26"/>
      <c r="L1229" s="26"/>
      <c r="M1229" s="26"/>
      <c r="N1229" s="26"/>
      <c r="O1229" s="26"/>
      <c r="P1229" s="26"/>
      <c r="Q1229" s="26"/>
      <c r="R1229" s="26"/>
      <c r="S1229" s="26"/>
      <c r="T1229" s="26"/>
      <c r="U1229" s="26"/>
      <c r="V1229" s="26"/>
      <c r="W1229" s="26"/>
      <c r="X1229" s="26"/>
      <c r="Y1229" s="26"/>
      <c r="Z1229" s="26"/>
      <c r="AA1229" s="26"/>
      <c r="AB1229" s="26"/>
      <c r="AC1229" s="26"/>
      <c r="AD1229" s="26"/>
      <c r="AE1229" s="26"/>
      <c r="AF1229" s="26"/>
      <c r="AG1229" s="26"/>
      <c r="AH1229" s="26"/>
      <c r="AI1229" s="26"/>
      <c r="AJ1229" s="26"/>
      <c r="AK1229" s="26"/>
      <c r="AL1229" s="26"/>
      <c r="AM1229" s="26"/>
      <c r="AN1229" s="26"/>
      <c r="AO1229" s="26"/>
      <c r="AP1229" s="26"/>
      <c r="AQ1229" s="26"/>
      <c r="AR1229" s="26"/>
      <c r="AS1229" s="26"/>
      <c r="AT1229" s="26"/>
      <c r="AU1229" s="26"/>
      <c r="AV1229" s="26"/>
      <c r="AW1229" s="26"/>
      <c r="AX1229" s="26"/>
      <c r="AY1229" s="26"/>
    </row>
    <row r="1230" spans="1:51" ht="12.75" customHeight="1">
      <c r="A1230" s="26"/>
      <c r="B1230" s="66"/>
      <c r="C1230" s="67"/>
      <c r="D1230" s="67"/>
      <c r="E1230" s="26"/>
      <c r="F1230" s="26"/>
      <c r="G1230" s="26"/>
      <c r="H1230" s="26"/>
      <c r="I1230" s="26"/>
      <c r="J1230" s="26"/>
      <c r="K1230" s="26"/>
      <c r="L1230" s="26"/>
      <c r="M1230" s="26"/>
      <c r="N1230" s="26"/>
      <c r="O1230" s="26"/>
      <c r="P1230" s="26"/>
      <c r="Q1230" s="26"/>
      <c r="R1230" s="26"/>
      <c r="S1230" s="26"/>
      <c r="T1230" s="26"/>
      <c r="U1230" s="26"/>
      <c r="V1230" s="26"/>
      <c r="W1230" s="26"/>
      <c r="X1230" s="26"/>
      <c r="Y1230" s="26"/>
      <c r="Z1230" s="26"/>
      <c r="AA1230" s="26"/>
      <c r="AB1230" s="26"/>
      <c r="AC1230" s="26"/>
      <c r="AD1230" s="26"/>
      <c r="AE1230" s="26"/>
      <c r="AF1230" s="26"/>
      <c r="AG1230" s="26"/>
      <c r="AH1230" s="26"/>
      <c r="AI1230" s="26"/>
      <c r="AJ1230" s="26"/>
      <c r="AK1230" s="26"/>
      <c r="AL1230" s="26"/>
      <c r="AM1230" s="26"/>
      <c r="AN1230" s="26"/>
      <c r="AO1230" s="26"/>
      <c r="AP1230" s="26"/>
      <c r="AQ1230" s="26"/>
      <c r="AR1230" s="26"/>
      <c r="AS1230" s="26"/>
      <c r="AT1230" s="26"/>
      <c r="AU1230" s="26"/>
      <c r="AV1230" s="26"/>
      <c r="AW1230" s="26"/>
      <c r="AX1230" s="26"/>
      <c r="AY1230" s="26"/>
    </row>
    <row r="1231" spans="1:51" ht="12.75" customHeight="1">
      <c r="A1231" s="26"/>
      <c r="B1231" s="66"/>
      <c r="C1231" s="67"/>
      <c r="D1231" s="67"/>
      <c r="E1231" s="26"/>
      <c r="F1231" s="26"/>
      <c r="G1231" s="26"/>
      <c r="H1231" s="26"/>
      <c r="I1231" s="26"/>
      <c r="J1231" s="26"/>
      <c r="K1231" s="26"/>
      <c r="L1231" s="26"/>
      <c r="M1231" s="26"/>
      <c r="N1231" s="26"/>
      <c r="O1231" s="26"/>
      <c r="P1231" s="26"/>
      <c r="Q1231" s="26"/>
      <c r="R1231" s="26"/>
      <c r="S1231" s="26"/>
      <c r="T1231" s="26"/>
      <c r="U1231" s="26"/>
      <c r="V1231" s="26"/>
      <c r="W1231" s="26"/>
      <c r="X1231" s="26"/>
      <c r="Y1231" s="26"/>
      <c r="Z1231" s="26"/>
      <c r="AA1231" s="26"/>
      <c r="AB1231" s="26"/>
      <c r="AC1231" s="26"/>
      <c r="AD1231" s="26"/>
      <c r="AE1231" s="26"/>
      <c r="AF1231" s="26"/>
      <c r="AG1231" s="26"/>
      <c r="AH1231" s="26"/>
      <c r="AI1231" s="26"/>
      <c r="AJ1231" s="26"/>
      <c r="AK1231" s="26"/>
      <c r="AL1231" s="26"/>
      <c r="AM1231" s="26"/>
      <c r="AN1231" s="26"/>
      <c r="AO1231" s="26"/>
      <c r="AP1231" s="26"/>
      <c r="AQ1231" s="26"/>
      <c r="AR1231" s="26"/>
      <c r="AS1231" s="26"/>
      <c r="AT1231" s="26"/>
      <c r="AU1231" s="26"/>
      <c r="AV1231" s="26"/>
      <c r="AW1231" s="26"/>
      <c r="AX1231" s="26"/>
      <c r="AY1231" s="26"/>
    </row>
    <row r="1232" spans="1:51" ht="12.75" customHeight="1">
      <c r="A1232" s="26"/>
      <c r="B1232" s="66"/>
      <c r="C1232" s="67"/>
      <c r="D1232" s="67"/>
      <c r="E1232" s="26"/>
      <c r="F1232" s="26"/>
      <c r="G1232" s="26"/>
      <c r="H1232" s="26"/>
      <c r="I1232" s="26"/>
      <c r="J1232" s="26"/>
      <c r="K1232" s="26"/>
      <c r="L1232" s="26"/>
      <c r="M1232" s="26"/>
      <c r="N1232" s="26"/>
      <c r="O1232" s="26"/>
      <c r="P1232" s="26"/>
      <c r="Q1232" s="26"/>
      <c r="R1232" s="26"/>
      <c r="S1232" s="26"/>
      <c r="T1232" s="26"/>
      <c r="U1232" s="26"/>
      <c r="V1232" s="26"/>
      <c r="W1232" s="26"/>
      <c r="X1232" s="26"/>
      <c r="Y1232" s="26"/>
      <c r="Z1232" s="26"/>
      <c r="AA1232" s="26"/>
      <c r="AB1232" s="26"/>
      <c r="AC1232" s="26"/>
      <c r="AD1232" s="26"/>
      <c r="AE1232" s="26"/>
      <c r="AF1232" s="26"/>
      <c r="AG1232" s="26"/>
      <c r="AH1232" s="26"/>
      <c r="AI1232" s="26"/>
      <c r="AJ1232" s="26"/>
      <c r="AK1232" s="26"/>
      <c r="AL1232" s="26"/>
      <c r="AM1232" s="26"/>
      <c r="AN1232" s="26"/>
      <c r="AO1232" s="26"/>
      <c r="AP1232" s="26"/>
      <c r="AQ1232" s="26"/>
      <c r="AR1232" s="26"/>
      <c r="AS1232" s="26"/>
      <c r="AT1232" s="26"/>
      <c r="AU1232" s="26"/>
      <c r="AV1232" s="26"/>
      <c r="AW1232" s="26"/>
      <c r="AX1232" s="26"/>
      <c r="AY1232" s="26"/>
    </row>
    <row r="1233" spans="1:51" ht="12.75" customHeight="1">
      <c r="A1233" s="26"/>
      <c r="B1233" s="66"/>
      <c r="C1233" s="67"/>
      <c r="D1233" s="67"/>
      <c r="E1233" s="26"/>
      <c r="F1233" s="26"/>
      <c r="G1233" s="26"/>
      <c r="H1233" s="26"/>
      <c r="I1233" s="26"/>
      <c r="J1233" s="26"/>
      <c r="K1233" s="26"/>
      <c r="L1233" s="26"/>
      <c r="M1233" s="26"/>
      <c r="N1233" s="26"/>
      <c r="O1233" s="26"/>
      <c r="P1233" s="26"/>
      <c r="Q1233" s="26"/>
      <c r="R1233" s="26"/>
      <c r="S1233" s="26"/>
      <c r="T1233" s="26"/>
      <c r="U1233" s="26"/>
      <c r="V1233" s="26"/>
      <c r="W1233" s="26"/>
      <c r="X1233" s="26"/>
      <c r="Y1233" s="26"/>
      <c r="Z1233" s="26"/>
      <c r="AA1233" s="26"/>
      <c r="AB1233" s="26"/>
      <c r="AC1233" s="26"/>
      <c r="AD1233" s="26"/>
      <c r="AE1233" s="26"/>
      <c r="AF1233" s="26"/>
      <c r="AG1233" s="26"/>
      <c r="AH1233" s="26"/>
      <c r="AI1233" s="26"/>
      <c r="AJ1233" s="26"/>
      <c r="AK1233" s="26"/>
      <c r="AL1233" s="26"/>
      <c r="AM1233" s="26"/>
      <c r="AN1233" s="26"/>
      <c r="AO1233" s="26"/>
      <c r="AP1233" s="26"/>
      <c r="AQ1233" s="26"/>
      <c r="AR1233" s="26"/>
      <c r="AS1233" s="26"/>
      <c r="AT1233" s="26"/>
      <c r="AU1233" s="26"/>
      <c r="AV1233" s="26"/>
      <c r="AW1233" s="26"/>
      <c r="AX1233" s="26"/>
      <c r="AY1233" s="26"/>
    </row>
    <row r="1234" spans="1:51" ht="12.75" customHeight="1">
      <c r="A1234" s="26"/>
      <c r="B1234" s="66"/>
      <c r="C1234" s="67"/>
      <c r="D1234" s="67"/>
      <c r="E1234" s="26"/>
      <c r="F1234" s="26"/>
      <c r="G1234" s="26"/>
      <c r="H1234" s="26"/>
      <c r="I1234" s="26"/>
      <c r="J1234" s="26"/>
      <c r="K1234" s="26"/>
      <c r="L1234" s="26"/>
      <c r="M1234" s="26"/>
      <c r="N1234" s="26"/>
      <c r="O1234" s="26"/>
      <c r="P1234" s="26"/>
      <c r="Q1234" s="26"/>
      <c r="R1234" s="26"/>
      <c r="S1234" s="26"/>
      <c r="T1234" s="26"/>
      <c r="U1234" s="26"/>
      <c r="V1234" s="26"/>
      <c r="W1234" s="26"/>
      <c r="X1234" s="26"/>
      <c r="Y1234" s="26"/>
      <c r="Z1234" s="26"/>
      <c r="AA1234" s="26"/>
      <c r="AB1234" s="26"/>
      <c r="AC1234" s="26"/>
      <c r="AD1234" s="26"/>
      <c r="AE1234" s="26"/>
      <c r="AF1234" s="26"/>
      <c r="AG1234" s="26"/>
      <c r="AH1234" s="26"/>
      <c r="AI1234" s="26"/>
      <c r="AJ1234" s="26"/>
      <c r="AK1234" s="26"/>
      <c r="AL1234" s="26"/>
      <c r="AM1234" s="26"/>
      <c r="AN1234" s="26"/>
      <c r="AO1234" s="26"/>
      <c r="AP1234" s="26"/>
      <c r="AQ1234" s="26"/>
      <c r="AR1234" s="26"/>
      <c r="AS1234" s="26"/>
      <c r="AT1234" s="26"/>
      <c r="AU1234" s="26"/>
      <c r="AV1234" s="26"/>
      <c r="AW1234" s="26"/>
      <c r="AX1234" s="26"/>
      <c r="AY1234" s="26"/>
    </row>
    <row r="1235" spans="1:51" ht="12.75" customHeight="1">
      <c r="A1235" s="26"/>
      <c r="B1235" s="66"/>
      <c r="C1235" s="67"/>
      <c r="D1235" s="67"/>
      <c r="E1235" s="26"/>
      <c r="F1235" s="26"/>
      <c r="G1235" s="26"/>
      <c r="H1235" s="26"/>
      <c r="I1235" s="26"/>
      <c r="J1235" s="26"/>
      <c r="K1235" s="26"/>
      <c r="L1235" s="26"/>
      <c r="M1235" s="26"/>
      <c r="N1235" s="26"/>
      <c r="O1235" s="26"/>
      <c r="P1235" s="26"/>
      <c r="Q1235" s="26"/>
      <c r="R1235" s="26"/>
      <c r="S1235" s="26"/>
      <c r="T1235" s="26"/>
      <c r="U1235" s="26"/>
      <c r="V1235" s="26"/>
      <c r="W1235" s="26"/>
      <c r="X1235" s="26"/>
      <c r="Y1235" s="26"/>
      <c r="Z1235" s="26"/>
      <c r="AA1235" s="26"/>
      <c r="AB1235" s="26"/>
      <c r="AC1235" s="26"/>
      <c r="AD1235" s="26"/>
      <c r="AE1235" s="26"/>
      <c r="AF1235" s="26"/>
      <c r="AG1235" s="26"/>
      <c r="AH1235" s="26"/>
      <c r="AI1235" s="26"/>
      <c r="AJ1235" s="26"/>
      <c r="AK1235" s="26"/>
      <c r="AL1235" s="26"/>
      <c r="AM1235" s="26"/>
      <c r="AN1235" s="26"/>
      <c r="AO1235" s="26"/>
      <c r="AP1235" s="26"/>
      <c r="AQ1235" s="26"/>
      <c r="AR1235" s="26"/>
      <c r="AS1235" s="26"/>
      <c r="AT1235" s="26"/>
      <c r="AU1235" s="26"/>
      <c r="AV1235" s="26"/>
      <c r="AW1235" s="26"/>
      <c r="AX1235" s="26"/>
      <c r="AY1235" s="26"/>
    </row>
    <row r="1236" spans="1:51" ht="12.75" customHeight="1">
      <c r="A1236" s="26"/>
      <c r="B1236" s="66"/>
      <c r="C1236" s="67"/>
      <c r="D1236" s="67"/>
      <c r="E1236" s="26"/>
      <c r="F1236" s="26"/>
      <c r="G1236" s="26"/>
      <c r="H1236" s="26"/>
      <c r="I1236" s="26"/>
      <c r="J1236" s="26"/>
      <c r="K1236" s="26"/>
      <c r="L1236" s="26"/>
      <c r="M1236" s="26"/>
      <c r="N1236" s="26"/>
      <c r="O1236" s="26"/>
      <c r="P1236" s="26"/>
      <c r="Q1236" s="26"/>
      <c r="R1236" s="26"/>
      <c r="S1236" s="26"/>
      <c r="T1236" s="26"/>
      <c r="U1236" s="26"/>
      <c r="V1236" s="26"/>
      <c r="W1236" s="26"/>
      <c r="X1236" s="26"/>
      <c r="Y1236" s="26"/>
      <c r="Z1236" s="26"/>
      <c r="AA1236" s="26"/>
      <c r="AB1236" s="26"/>
      <c r="AC1236" s="26"/>
      <c r="AD1236" s="26"/>
      <c r="AE1236" s="26"/>
      <c r="AF1236" s="26"/>
      <c r="AG1236" s="26"/>
      <c r="AH1236" s="26"/>
      <c r="AI1236" s="26"/>
      <c r="AJ1236" s="26"/>
      <c r="AK1236" s="26"/>
      <c r="AL1236" s="26"/>
      <c r="AM1236" s="26"/>
      <c r="AN1236" s="26"/>
      <c r="AO1236" s="26"/>
      <c r="AP1236" s="26"/>
      <c r="AQ1236" s="26"/>
      <c r="AR1236" s="26"/>
      <c r="AS1236" s="26"/>
      <c r="AT1236" s="26"/>
      <c r="AU1236" s="26"/>
      <c r="AV1236" s="26"/>
      <c r="AW1236" s="26"/>
      <c r="AX1236" s="26"/>
      <c r="AY1236" s="26"/>
    </row>
    <row r="1237" spans="1:51" ht="12.75" customHeight="1">
      <c r="A1237" s="26"/>
      <c r="B1237" s="66"/>
      <c r="C1237" s="67"/>
      <c r="D1237" s="67"/>
      <c r="E1237" s="26"/>
      <c r="F1237" s="26"/>
      <c r="G1237" s="26"/>
      <c r="H1237" s="26"/>
      <c r="I1237" s="26"/>
      <c r="J1237" s="26"/>
      <c r="K1237" s="26"/>
      <c r="L1237" s="26"/>
      <c r="M1237" s="26"/>
      <c r="N1237" s="26"/>
      <c r="O1237" s="26"/>
      <c r="P1237" s="26"/>
      <c r="Q1237" s="26"/>
      <c r="R1237" s="26"/>
      <c r="S1237" s="76"/>
      <c r="T1237" s="26"/>
      <c r="U1237" s="26"/>
      <c r="V1237" s="26"/>
      <c r="W1237" s="26"/>
      <c r="X1237" s="26"/>
      <c r="Y1237" s="26"/>
      <c r="Z1237" s="26"/>
      <c r="AA1237" s="26"/>
      <c r="AB1237" s="26"/>
      <c r="AC1237" s="26"/>
      <c r="AD1237" s="26"/>
      <c r="AE1237" s="26"/>
      <c r="AF1237" s="26"/>
      <c r="AG1237" s="26"/>
      <c r="AH1237" s="26"/>
      <c r="AI1237" s="26"/>
      <c r="AJ1237" s="26"/>
      <c r="AK1237" s="26"/>
      <c r="AL1237" s="26"/>
      <c r="AM1237" s="26"/>
      <c r="AN1237" s="26"/>
      <c r="AO1237" s="26"/>
      <c r="AP1237" s="26"/>
      <c r="AQ1237" s="26"/>
      <c r="AR1237" s="26"/>
      <c r="AS1237" s="26"/>
      <c r="AT1237" s="26"/>
      <c r="AU1237" s="26"/>
      <c r="AV1237" s="26"/>
      <c r="AW1237" s="26"/>
      <c r="AX1237" s="26"/>
      <c r="AY1237" s="26"/>
    </row>
    <row r="1238" spans="1:51" ht="12.75" customHeight="1">
      <c r="A1238" s="26"/>
      <c r="B1238" s="66"/>
      <c r="C1238" s="67"/>
      <c r="D1238" s="67"/>
      <c r="E1238" s="26"/>
      <c r="F1238" s="26"/>
      <c r="G1238" s="26"/>
      <c r="H1238" s="26"/>
      <c r="I1238" s="26"/>
      <c r="J1238" s="26"/>
      <c r="K1238" s="26"/>
      <c r="L1238" s="26"/>
      <c r="M1238" s="26"/>
      <c r="N1238" s="26"/>
      <c r="O1238" s="26"/>
      <c r="P1238" s="26"/>
      <c r="Q1238" s="26"/>
      <c r="R1238" s="26"/>
      <c r="S1238" s="76"/>
      <c r="T1238" s="26"/>
      <c r="U1238" s="26"/>
      <c r="V1238" s="26"/>
      <c r="W1238" s="26"/>
      <c r="X1238" s="26"/>
      <c r="Y1238" s="26"/>
      <c r="Z1238" s="26"/>
      <c r="AA1238" s="26"/>
      <c r="AB1238" s="26"/>
      <c r="AC1238" s="26"/>
      <c r="AD1238" s="26"/>
      <c r="AE1238" s="26"/>
      <c r="AF1238" s="26"/>
      <c r="AG1238" s="26"/>
      <c r="AH1238" s="26"/>
      <c r="AI1238" s="26"/>
      <c r="AJ1238" s="26"/>
      <c r="AK1238" s="26"/>
      <c r="AL1238" s="26"/>
      <c r="AM1238" s="26"/>
      <c r="AN1238" s="26"/>
      <c r="AO1238" s="26"/>
      <c r="AP1238" s="26"/>
      <c r="AQ1238" s="26"/>
      <c r="AR1238" s="26"/>
      <c r="AS1238" s="26"/>
      <c r="AT1238" s="26"/>
      <c r="AU1238" s="26"/>
      <c r="AV1238" s="26"/>
      <c r="AW1238" s="26"/>
      <c r="AX1238" s="26"/>
      <c r="AY1238" s="26"/>
    </row>
    <row r="1239" spans="1:51" ht="12.75" customHeight="1">
      <c r="A1239" s="26"/>
      <c r="B1239" s="66"/>
      <c r="C1239" s="67"/>
      <c r="D1239" s="67"/>
      <c r="E1239" s="26"/>
      <c r="F1239" s="26"/>
      <c r="G1239" s="26"/>
      <c r="H1239" s="26"/>
      <c r="I1239" s="26"/>
      <c r="J1239" s="26"/>
      <c r="K1239" s="26"/>
      <c r="L1239" s="26"/>
      <c r="M1239" s="26"/>
      <c r="N1239" s="26"/>
      <c r="O1239" s="26"/>
      <c r="P1239" s="26"/>
      <c r="Q1239" s="26"/>
      <c r="R1239" s="26"/>
      <c r="S1239" s="86"/>
      <c r="T1239" s="26"/>
      <c r="U1239" s="26"/>
      <c r="V1239" s="26"/>
      <c r="W1239" s="26"/>
      <c r="X1239" s="26"/>
      <c r="Y1239" s="26"/>
      <c r="Z1239" s="26"/>
      <c r="AA1239" s="26"/>
      <c r="AB1239" s="26"/>
      <c r="AC1239" s="26"/>
      <c r="AD1239" s="26"/>
      <c r="AE1239" s="26"/>
      <c r="AF1239" s="26"/>
      <c r="AG1239" s="26"/>
      <c r="AH1239" s="26"/>
      <c r="AI1239" s="26"/>
      <c r="AJ1239" s="26"/>
      <c r="AK1239" s="26"/>
      <c r="AL1239" s="26"/>
      <c r="AM1239" s="26"/>
      <c r="AN1239" s="26"/>
      <c r="AO1239" s="26"/>
      <c r="AP1239" s="26"/>
      <c r="AQ1239" s="26"/>
      <c r="AR1239" s="26"/>
      <c r="AS1239" s="26"/>
      <c r="AT1239" s="26"/>
      <c r="AU1239" s="26"/>
      <c r="AV1239" s="26"/>
      <c r="AW1239" s="26"/>
      <c r="AX1239" s="26"/>
      <c r="AY1239" s="26"/>
    </row>
    <row r="1240" spans="1:51" ht="12.75" customHeight="1">
      <c r="A1240" s="26"/>
      <c r="B1240" s="66"/>
      <c r="C1240" s="67"/>
      <c r="D1240" s="67"/>
      <c r="E1240" s="26"/>
      <c r="F1240" s="26"/>
      <c r="G1240" s="26"/>
      <c r="H1240" s="26"/>
      <c r="I1240" s="26"/>
      <c r="J1240" s="26"/>
      <c r="K1240" s="26"/>
      <c r="L1240" s="26"/>
      <c r="M1240" s="26"/>
      <c r="N1240" s="26"/>
      <c r="O1240" s="26"/>
      <c r="P1240" s="26"/>
      <c r="Q1240" s="26"/>
      <c r="R1240" s="26"/>
      <c r="S1240" s="86"/>
      <c r="T1240" s="26"/>
      <c r="U1240" s="26"/>
      <c r="V1240" s="26"/>
      <c r="W1240" s="26"/>
      <c r="X1240" s="26"/>
      <c r="Y1240" s="26"/>
      <c r="Z1240" s="26"/>
      <c r="AA1240" s="26"/>
      <c r="AB1240" s="26"/>
      <c r="AC1240" s="26"/>
      <c r="AD1240" s="26"/>
      <c r="AE1240" s="26"/>
      <c r="AF1240" s="26"/>
      <c r="AG1240" s="26"/>
      <c r="AH1240" s="26"/>
      <c r="AI1240" s="26"/>
      <c r="AJ1240" s="26"/>
      <c r="AK1240" s="26"/>
      <c r="AL1240" s="26"/>
      <c r="AM1240" s="26"/>
      <c r="AN1240" s="26"/>
      <c r="AO1240" s="26"/>
      <c r="AP1240" s="26"/>
      <c r="AQ1240" s="26"/>
      <c r="AR1240" s="26"/>
      <c r="AS1240" s="26"/>
      <c r="AT1240" s="26"/>
      <c r="AU1240" s="26"/>
      <c r="AV1240" s="26"/>
      <c r="AW1240" s="26"/>
      <c r="AX1240" s="26"/>
      <c r="AY1240" s="26"/>
    </row>
    <row r="1241" spans="1:51" ht="12.75" customHeight="1">
      <c r="A1241" s="26"/>
      <c r="B1241" s="66"/>
      <c r="C1241" s="67"/>
      <c r="D1241" s="67"/>
      <c r="E1241" s="26"/>
      <c r="F1241" s="26"/>
      <c r="G1241" s="26"/>
      <c r="H1241" s="26"/>
      <c r="I1241" s="26"/>
      <c r="J1241" s="26"/>
      <c r="K1241" s="26"/>
      <c r="L1241" s="26"/>
      <c r="M1241" s="26"/>
      <c r="N1241" s="26"/>
      <c r="O1241" s="26"/>
      <c r="P1241" s="26"/>
      <c r="Q1241" s="26"/>
      <c r="R1241" s="26"/>
      <c r="S1241" s="86"/>
      <c r="T1241" s="26"/>
      <c r="U1241" s="26"/>
      <c r="V1241" s="26"/>
      <c r="W1241" s="26"/>
      <c r="X1241" s="26"/>
      <c r="Y1241" s="26"/>
      <c r="Z1241" s="26"/>
      <c r="AA1241" s="26"/>
      <c r="AB1241" s="26"/>
      <c r="AC1241" s="26"/>
      <c r="AD1241" s="26"/>
      <c r="AE1241" s="26"/>
      <c r="AF1241" s="26"/>
      <c r="AG1241" s="26"/>
      <c r="AH1241" s="26"/>
      <c r="AI1241" s="26"/>
      <c r="AJ1241" s="26"/>
      <c r="AK1241" s="26"/>
      <c r="AL1241" s="26"/>
      <c r="AM1241" s="26"/>
      <c r="AN1241" s="26"/>
      <c r="AO1241" s="26"/>
      <c r="AP1241" s="26"/>
      <c r="AQ1241" s="26"/>
      <c r="AR1241" s="26"/>
      <c r="AS1241" s="26"/>
      <c r="AT1241" s="26"/>
      <c r="AU1241" s="26"/>
      <c r="AV1241" s="26"/>
      <c r="AW1241" s="26"/>
      <c r="AX1241" s="26"/>
      <c r="AY1241" s="26"/>
    </row>
    <row r="1242" spans="1:51" ht="12.75" customHeight="1">
      <c r="A1242" s="26"/>
      <c r="B1242" s="66"/>
      <c r="C1242" s="67"/>
      <c r="D1242" s="67"/>
      <c r="E1242" s="26"/>
      <c r="F1242" s="26"/>
      <c r="G1242" s="26"/>
      <c r="H1242" s="26"/>
      <c r="I1242" s="26"/>
      <c r="J1242" s="26"/>
      <c r="K1242" s="26"/>
      <c r="L1242" s="26"/>
      <c r="M1242" s="26"/>
      <c r="N1242" s="26"/>
      <c r="O1242" s="26"/>
      <c r="P1242" s="26"/>
      <c r="Q1242" s="26"/>
      <c r="R1242" s="26"/>
      <c r="S1242" s="86"/>
      <c r="T1242" s="26"/>
      <c r="U1242" s="26"/>
      <c r="V1242" s="26"/>
      <c r="W1242" s="26"/>
      <c r="X1242" s="26"/>
      <c r="Y1242" s="26"/>
      <c r="Z1242" s="26"/>
      <c r="AA1242" s="26"/>
      <c r="AB1242" s="26"/>
      <c r="AC1242" s="26"/>
      <c r="AD1242" s="26"/>
      <c r="AE1242" s="26"/>
      <c r="AF1242" s="26"/>
      <c r="AG1242" s="26"/>
      <c r="AH1242" s="26"/>
      <c r="AI1242" s="26"/>
      <c r="AJ1242" s="26"/>
      <c r="AK1242" s="26"/>
      <c r="AL1242" s="26"/>
      <c r="AM1242" s="26"/>
      <c r="AN1242" s="26"/>
      <c r="AO1242" s="26"/>
      <c r="AP1242" s="26"/>
      <c r="AQ1242" s="26"/>
      <c r="AR1242" s="26"/>
      <c r="AS1242" s="26"/>
      <c r="AT1242" s="26"/>
      <c r="AU1242" s="26"/>
      <c r="AV1242" s="26"/>
      <c r="AW1242" s="26"/>
      <c r="AX1242" s="26"/>
      <c r="AY1242" s="26"/>
    </row>
    <row r="1243" spans="1:51" ht="12.75" customHeight="1">
      <c r="A1243" s="26"/>
      <c r="B1243" s="66"/>
      <c r="C1243" s="67"/>
      <c r="D1243" s="67"/>
      <c r="E1243" s="26"/>
      <c r="F1243" s="26"/>
      <c r="G1243" s="26"/>
      <c r="H1243" s="26"/>
      <c r="I1243" s="26"/>
      <c r="J1243" s="26"/>
      <c r="K1243" s="26"/>
      <c r="L1243" s="26"/>
      <c r="M1243" s="26"/>
      <c r="N1243" s="26"/>
      <c r="O1243" s="26"/>
      <c r="P1243" s="26"/>
      <c r="Q1243" s="26"/>
      <c r="R1243" s="26"/>
      <c r="S1243" s="86"/>
      <c r="T1243" s="26"/>
      <c r="U1243" s="26"/>
      <c r="V1243" s="26"/>
      <c r="W1243" s="26"/>
      <c r="X1243" s="26"/>
      <c r="Y1243" s="26"/>
      <c r="Z1243" s="26"/>
      <c r="AA1243" s="26"/>
      <c r="AB1243" s="26"/>
      <c r="AC1243" s="26"/>
      <c r="AD1243" s="26"/>
      <c r="AE1243" s="26"/>
      <c r="AF1243" s="26"/>
      <c r="AG1243" s="26"/>
      <c r="AH1243" s="26"/>
      <c r="AI1243" s="26"/>
      <c r="AJ1243" s="26"/>
      <c r="AK1243" s="26"/>
      <c r="AL1243" s="26"/>
      <c r="AM1243" s="26"/>
      <c r="AN1243" s="26"/>
      <c r="AO1243" s="26"/>
      <c r="AP1243" s="26"/>
      <c r="AQ1243" s="26"/>
      <c r="AR1243" s="26"/>
      <c r="AS1243" s="26"/>
      <c r="AT1243" s="26"/>
      <c r="AU1243" s="26"/>
      <c r="AV1243" s="26"/>
      <c r="AW1243" s="26"/>
      <c r="AX1243" s="26"/>
      <c r="AY1243" s="26"/>
    </row>
    <row r="1244" spans="1:51" ht="12.75" customHeight="1">
      <c r="A1244" s="26"/>
      <c r="B1244" s="66"/>
      <c r="C1244" s="67"/>
      <c r="D1244" s="67"/>
      <c r="E1244" s="26"/>
      <c r="F1244" s="26"/>
      <c r="G1244" s="26"/>
      <c r="H1244" s="26"/>
      <c r="I1244" s="26"/>
      <c r="J1244" s="26"/>
      <c r="K1244" s="26"/>
      <c r="L1244" s="26"/>
      <c r="M1244" s="26"/>
      <c r="N1244" s="26"/>
      <c r="O1244" s="26"/>
      <c r="P1244" s="26"/>
      <c r="Q1244" s="26"/>
      <c r="R1244" s="26"/>
      <c r="S1244" s="86"/>
      <c r="T1244" s="26"/>
      <c r="U1244" s="26"/>
      <c r="V1244" s="26"/>
      <c r="W1244" s="26"/>
      <c r="X1244" s="26"/>
      <c r="Y1244" s="26"/>
      <c r="Z1244" s="26"/>
      <c r="AA1244" s="26"/>
      <c r="AB1244" s="26"/>
      <c r="AC1244" s="26"/>
      <c r="AD1244" s="26"/>
      <c r="AE1244" s="26"/>
      <c r="AF1244" s="26"/>
      <c r="AG1244" s="26"/>
      <c r="AH1244" s="26"/>
      <c r="AI1244" s="26"/>
      <c r="AJ1244" s="26"/>
      <c r="AK1244" s="26"/>
      <c r="AL1244" s="26"/>
      <c r="AM1244" s="26"/>
      <c r="AN1244" s="26"/>
      <c r="AO1244" s="26"/>
      <c r="AP1244" s="26"/>
      <c r="AQ1244" s="26"/>
      <c r="AR1244" s="26"/>
      <c r="AS1244" s="26"/>
      <c r="AT1244" s="26"/>
      <c r="AU1244" s="26"/>
      <c r="AV1244" s="26"/>
      <c r="AW1244" s="26"/>
      <c r="AX1244" s="26"/>
      <c r="AY1244" s="26"/>
    </row>
    <row r="1245" spans="1:51" ht="12.75" customHeight="1">
      <c r="A1245" s="26"/>
      <c r="B1245" s="66"/>
      <c r="C1245" s="67"/>
      <c r="D1245" s="67"/>
      <c r="E1245" s="26"/>
      <c r="F1245" s="26"/>
      <c r="G1245" s="26"/>
      <c r="H1245" s="26"/>
      <c r="I1245" s="26"/>
      <c r="J1245" s="26"/>
      <c r="K1245" s="26"/>
      <c r="L1245" s="26"/>
      <c r="M1245" s="26"/>
      <c r="N1245" s="26"/>
      <c r="O1245" s="26"/>
      <c r="P1245" s="26"/>
      <c r="Q1245" s="26"/>
      <c r="R1245" s="26"/>
      <c r="S1245" s="86"/>
      <c r="T1245" s="26"/>
      <c r="U1245" s="26"/>
      <c r="V1245" s="26"/>
      <c r="W1245" s="26"/>
      <c r="X1245" s="26"/>
      <c r="Y1245" s="26"/>
      <c r="Z1245" s="26"/>
      <c r="AA1245" s="26"/>
      <c r="AB1245" s="26"/>
      <c r="AC1245" s="26"/>
      <c r="AD1245" s="26"/>
      <c r="AE1245" s="26"/>
      <c r="AF1245" s="26"/>
      <c r="AG1245" s="26"/>
      <c r="AH1245" s="26"/>
      <c r="AI1245" s="26"/>
      <c r="AJ1245" s="26"/>
      <c r="AK1245" s="26"/>
      <c r="AL1245" s="26"/>
      <c r="AM1245" s="26"/>
      <c r="AN1245" s="26"/>
      <c r="AO1245" s="26"/>
      <c r="AP1245" s="26"/>
      <c r="AQ1245" s="26"/>
      <c r="AR1245" s="26"/>
      <c r="AS1245" s="26"/>
      <c r="AT1245" s="26"/>
      <c r="AU1245" s="26"/>
      <c r="AV1245" s="26"/>
      <c r="AW1245" s="26"/>
      <c r="AX1245" s="26"/>
      <c r="AY1245" s="26"/>
    </row>
    <row r="1246" spans="1:51" ht="12.75" customHeight="1">
      <c r="A1246" s="26"/>
      <c r="B1246" s="66"/>
      <c r="C1246" s="67"/>
      <c r="D1246" s="67"/>
      <c r="E1246" s="26"/>
      <c r="F1246" s="26"/>
      <c r="G1246" s="26"/>
      <c r="H1246" s="26"/>
      <c r="I1246" s="26"/>
      <c r="J1246" s="26"/>
      <c r="K1246" s="26"/>
      <c r="L1246" s="26"/>
      <c r="M1246" s="26"/>
      <c r="N1246" s="26"/>
      <c r="O1246" s="26"/>
      <c r="P1246" s="26"/>
      <c r="Q1246" s="26"/>
      <c r="R1246" s="26"/>
      <c r="S1246" s="86"/>
      <c r="T1246" s="26"/>
      <c r="U1246" s="26"/>
      <c r="V1246" s="26"/>
      <c r="W1246" s="26"/>
      <c r="X1246" s="26"/>
      <c r="Y1246" s="26"/>
      <c r="Z1246" s="26"/>
      <c r="AA1246" s="26"/>
      <c r="AB1246" s="26"/>
      <c r="AC1246" s="26"/>
      <c r="AD1246" s="26"/>
      <c r="AE1246" s="26"/>
      <c r="AF1246" s="26"/>
      <c r="AG1246" s="26"/>
      <c r="AH1246" s="26"/>
      <c r="AI1246" s="26"/>
      <c r="AJ1246" s="26"/>
      <c r="AK1246" s="26"/>
      <c r="AL1246" s="26"/>
      <c r="AM1246" s="26"/>
      <c r="AN1246" s="26"/>
      <c r="AO1246" s="26"/>
      <c r="AP1246" s="26"/>
      <c r="AQ1246" s="26"/>
      <c r="AR1246" s="26"/>
      <c r="AS1246" s="26"/>
      <c r="AT1246" s="26"/>
      <c r="AU1246" s="26"/>
      <c r="AV1246" s="26"/>
      <c r="AW1246" s="26"/>
      <c r="AX1246" s="26"/>
      <c r="AY1246" s="26"/>
    </row>
    <row r="1247" spans="1:51" ht="12.75" customHeight="1">
      <c r="A1247" s="26"/>
      <c r="B1247" s="66"/>
      <c r="C1247" s="67"/>
      <c r="D1247" s="67"/>
      <c r="E1247" s="26"/>
      <c r="F1247" s="26"/>
      <c r="G1247" s="26"/>
      <c r="H1247" s="26"/>
      <c r="I1247" s="26"/>
      <c r="J1247" s="26"/>
      <c r="K1247" s="26"/>
      <c r="L1247" s="26"/>
      <c r="M1247" s="26"/>
      <c r="N1247" s="26"/>
      <c r="O1247" s="26"/>
      <c r="P1247" s="26"/>
      <c r="Q1247" s="26"/>
      <c r="R1247" s="26"/>
      <c r="S1247" s="67"/>
      <c r="T1247" s="26"/>
      <c r="U1247" s="26"/>
      <c r="V1247" s="26"/>
      <c r="W1247" s="26"/>
      <c r="X1247" s="26"/>
      <c r="Y1247" s="26"/>
      <c r="Z1247" s="26"/>
      <c r="AA1247" s="26"/>
      <c r="AB1247" s="26"/>
      <c r="AC1247" s="26"/>
      <c r="AD1247" s="26"/>
      <c r="AE1247" s="26"/>
      <c r="AF1247" s="26"/>
      <c r="AG1247" s="26"/>
      <c r="AH1247" s="26"/>
      <c r="AI1247" s="26"/>
      <c r="AJ1247" s="26"/>
      <c r="AK1247" s="26"/>
      <c r="AL1247" s="26"/>
      <c r="AM1247" s="26"/>
      <c r="AN1247" s="26"/>
      <c r="AO1247" s="26"/>
      <c r="AP1247" s="26"/>
      <c r="AQ1247" s="26"/>
      <c r="AR1247" s="26"/>
      <c r="AS1247" s="26"/>
      <c r="AT1247" s="26"/>
      <c r="AU1247" s="26"/>
      <c r="AV1247" s="26"/>
      <c r="AW1247" s="26"/>
      <c r="AX1247" s="26"/>
      <c r="AY1247" s="26"/>
    </row>
    <row r="1248" spans="1:51" ht="12.75" customHeight="1">
      <c r="A1248" s="26"/>
      <c r="B1248" s="66"/>
      <c r="C1248" s="67"/>
      <c r="D1248" s="67"/>
      <c r="E1248" s="26"/>
      <c r="F1248" s="26"/>
      <c r="G1248" s="26"/>
      <c r="H1248" s="26"/>
      <c r="I1248" s="26"/>
      <c r="J1248" s="26"/>
      <c r="K1248" s="26"/>
      <c r="L1248" s="26"/>
      <c r="M1248" s="26"/>
      <c r="N1248" s="26"/>
      <c r="O1248" s="26"/>
      <c r="P1248" s="26"/>
      <c r="Q1248" s="26"/>
      <c r="R1248" s="26"/>
      <c r="S1248" s="26"/>
      <c r="T1248" s="26"/>
      <c r="U1248" s="26"/>
      <c r="V1248" s="26"/>
      <c r="W1248" s="26"/>
      <c r="X1248" s="26"/>
      <c r="Y1248" s="26"/>
      <c r="Z1248" s="26"/>
      <c r="AA1248" s="26"/>
      <c r="AB1248" s="26"/>
      <c r="AC1248" s="26"/>
      <c r="AD1248" s="26"/>
      <c r="AE1248" s="26"/>
      <c r="AF1248" s="26"/>
      <c r="AG1248" s="26"/>
      <c r="AH1248" s="26"/>
      <c r="AI1248" s="26"/>
      <c r="AJ1248" s="26"/>
      <c r="AK1248" s="26"/>
      <c r="AL1248" s="26"/>
      <c r="AM1248" s="26"/>
      <c r="AN1248" s="26"/>
      <c r="AO1248" s="26"/>
      <c r="AP1248" s="26"/>
      <c r="AQ1248" s="26"/>
      <c r="AR1248" s="26"/>
      <c r="AS1248" s="26"/>
      <c r="AT1248" s="26"/>
      <c r="AU1248" s="26"/>
      <c r="AV1248" s="26"/>
      <c r="AW1248" s="26"/>
      <c r="AX1248" s="26"/>
      <c r="AY1248" s="26"/>
    </row>
    <row r="1249" spans="1:51" ht="12.75" customHeight="1">
      <c r="A1249" s="26"/>
      <c r="B1249" s="66"/>
      <c r="C1249" s="67"/>
      <c r="D1249" s="67"/>
      <c r="E1249" s="26"/>
      <c r="F1249" s="26"/>
      <c r="G1249" s="26"/>
      <c r="H1249" s="26"/>
      <c r="I1249" s="26"/>
      <c r="J1249" s="26"/>
      <c r="K1249" s="26"/>
      <c r="L1249" s="26"/>
      <c r="M1249" s="26"/>
      <c r="N1249" s="26"/>
      <c r="O1249" s="26"/>
      <c r="P1249" s="26"/>
      <c r="Q1249" s="26"/>
      <c r="R1249" s="26"/>
      <c r="S1249" s="26"/>
      <c r="T1249" s="26"/>
      <c r="U1249" s="26"/>
      <c r="V1249" s="26"/>
      <c r="W1249" s="26"/>
      <c r="X1249" s="26"/>
      <c r="Y1249" s="26"/>
      <c r="Z1249" s="26"/>
      <c r="AA1249" s="26"/>
      <c r="AB1249" s="26"/>
      <c r="AC1249" s="26"/>
      <c r="AD1249" s="26"/>
      <c r="AE1249" s="26"/>
      <c r="AF1249" s="26"/>
      <c r="AG1249" s="26"/>
      <c r="AH1249" s="26"/>
      <c r="AI1249" s="26"/>
      <c r="AJ1249" s="26"/>
      <c r="AK1249" s="26"/>
      <c r="AL1249" s="26"/>
      <c r="AM1249" s="26"/>
      <c r="AN1249" s="26"/>
      <c r="AO1249" s="26"/>
      <c r="AP1249" s="26"/>
      <c r="AQ1249" s="26"/>
      <c r="AR1249" s="26"/>
      <c r="AS1249" s="26"/>
      <c r="AT1249" s="26"/>
      <c r="AU1249" s="26"/>
      <c r="AV1249" s="26"/>
      <c r="AW1249" s="26"/>
      <c r="AX1249" s="26"/>
      <c r="AY1249" s="26"/>
    </row>
    <row r="1250" spans="1:51" ht="12.75" customHeight="1">
      <c r="A1250" s="26"/>
      <c r="B1250" s="66"/>
      <c r="C1250" s="67"/>
      <c r="D1250" s="67"/>
      <c r="E1250" s="26"/>
      <c r="F1250" s="26"/>
      <c r="G1250" s="26"/>
      <c r="H1250" s="26"/>
      <c r="I1250" s="26"/>
      <c r="J1250" s="26"/>
      <c r="K1250" s="26"/>
      <c r="L1250" s="26"/>
      <c r="M1250" s="26"/>
      <c r="N1250" s="26"/>
      <c r="O1250" s="26"/>
      <c r="P1250" s="26"/>
      <c r="Q1250" s="26"/>
      <c r="R1250" s="26"/>
      <c r="S1250" s="26"/>
      <c r="T1250" s="26"/>
      <c r="U1250" s="26"/>
      <c r="V1250" s="26"/>
      <c r="W1250" s="26"/>
      <c r="X1250" s="26"/>
      <c r="Y1250" s="26"/>
      <c r="Z1250" s="26"/>
      <c r="AA1250" s="26"/>
      <c r="AB1250" s="26"/>
      <c r="AC1250" s="26"/>
      <c r="AD1250" s="26"/>
      <c r="AE1250" s="26"/>
      <c r="AF1250" s="26"/>
      <c r="AG1250" s="26"/>
      <c r="AH1250" s="26"/>
      <c r="AI1250" s="26"/>
      <c r="AJ1250" s="26"/>
      <c r="AK1250" s="26"/>
      <c r="AL1250" s="26"/>
      <c r="AM1250" s="26"/>
      <c r="AN1250" s="26"/>
      <c r="AO1250" s="26"/>
      <c r="AP1250" s="26"/>
      <c r="AQ1250" s="26"/>
      <c r="AR1250" s="26"/>
      <c r="AS1250" s="26"/>
      <c r="AT1250" s="26"/>
      <c r="AU1250" s="26"/>
      <c r="AV1250" s="26"/>
      <c r="AW1250" s="26"/>
      <c r="AX1250" s="26"/>
      <c r="AY1250" s="26"/>
    </row>
    <row r="1251" spans="1:51" ht="12.75" customHeight="1">
      <c r="A1251" s="26"/>
      <c r="B1251" s="66"/>
      <c r="C1251" s="67"/>
      <c r="D1251" s="67"/>
      <c r="E1251" s="26"/>
      <c r="F1251" s="26"/>
      <c r="G1251" s="26"/>
      <c r="H1251" s="26"/>
      <c r="I1251" s="26"/>
      <c r="J1251" s="26"/>
      <c r="K1251" s="26"/>
      <c r="L1251" s="26"/>
      <c r="M1251" s="26"/>
      <c r="N1251" s="26"/>
      <c r="O1251" s="26"/>
      <c r="P1251" s="26"/>
      <c r="Q1251" s="26"/>
      <c r="R1251" s="26"/>
      <c r="S1251" s="26"/>
      <c r="T1251" s="26"/>
      <c r="U1251" s="26"/>
      <c r="V1251" s="26"/>
      <c r="W1251" s="26"/>
      <c r="X1251" s="26"/>
      <c r="Y1251" s="26"/>
      <c r="Z1251" s="26"/>
      <c r="AA1251" s="26"/>
      <c r="AB1251" s="26"/>
      <c r="AC1251" s="26"/>
      <c r="AD1251" s="26"/>
      <c r="AE1251" s="26"/>
      <c r="AF1251" s="26"/>
      <c r="AG1251" s="26"/>
      <c r="AH1251" s="26"/>
      <c r="AI1251" s="26"/>
      <c r="AJ1251" s="26"/>
      <c r="AK1251" s="26"/>
      <c r="AL1251" s="26"/>
      <c r="AM1251" s="26"/>
      <c r="AN1251" s="26"/>
      <c r="AO1251" s="26"/>
      <c r="AP1251" s="26"/>
      <c r="AQ1251" s="26"/>
      <c r="AR1251" s="26"/>
      <c r="AS1251" s="26"/>
      <c r="AT1251" s="26"/>
      <c r="AU1251" s="26"/>
      <c r="AV1251" s="26"/>
      <c r="AW1251" s="26"/>
      <c r="AX1251" s="26"/>
      <c r="AY1251" s="26"/>
    </row>
    <row r="1252" spans="1:51" ht="12.75" customHeight="1">
      <c r="A1252" s="26"/>
      <c r="B1252" s="66"/>
      <c r="C1252" s="67"/>
      <c r="D1252" s="67"/>
      <c r="E1252" s="26"/>
      <c r="F1252" s="26"/>
      <c r="G1252" s="26"/>
      <c r="H1252" s="26"/>
      <c r="I1252" s="26"/>
      <c r="J1252" s="26"/>
      <c r="K1252" s="26"/>
      <c r="L1252" s="26"/>
      <c r="M1252" s="26"/>
      <c r="N1252" s="26"/>
      <c r="O1252" s="26"/>
      <c r="P1252" s="26"/>
      <c r="Q1252" s="26"/>
      <c r="R1252" s="26"/>
      <c r="S1252" s="26"/>
      <c r="T1252" s="26"/>
      <c r="U1252" s="26"/>
      <c r="V1252" s="26"/>
      <c r="W1252" s="26"/>
      <c r="X1252" s="26"/>
      <c r="Y1252" s="26"/>
      <c r="Z1252" s="26"/>
      <c r="AA1252" s="26"/>
      <c r="AB1252" s="26"/>
      <c r="AC1252" s="26"/>
      <c r="AD1252" s="26"/>
      <c r="AE1252" s="26"/>
      <c r="AF1252" s="26"/>
      <c r="AG1252" s="26"/>
      <c r="AH1252" s="26"/>
      <c r="AI1252" s="26"/>
      <c r="AJ1252" s="26"/>
      <c r="AK1252" s="26"/>
      <c r="AL1252" s="26"/>
      <c r="AM1252" s="26"/>
      <c r="AN1252" s="26"/>
      <c r="AO1252" s="26"/>
      <c r="AP1252" s="26"/>
      <c r="AQ1252" s="26"/>
      <c r="AR1252" s="26"/>
      <c r="AS1252" s="26"/>
      <c r="AT1252" s="26"/>
      <c r="AU1252" s="26"/>
      <c r="AV1252" s="26"/>
      <c r="AW1252" s="26"/>
      <c r="AX1252" s="26"/>
      <c r="AY1252" s="26"/>
    </row>
    <row r="1253" spans="1:51" ht="12.75" customHeight="1">
      <c r="A1253" s="26"/>
      <c r="B1253" s="66"/>
      <c r="C1253" s="67"/>
      <c r="D1253" s="67"/>
      <c r="E1253" s="26"/>
      <c r="F1253" s="26"/>
      <c r="G1253" s="26"/>
      <c r="H1253" s="26"/>
      <c r="I1253" s="26"/>
      <c r="J1253" s="26"/>
      <c r="K1253" s="26"/>
      <c r="L1253" s="26"/>
      <c r="M1253" s="26"/>
      <c r="N1253" s="26"/>
      <c r="O1253" s="26"/>
      <c r="P1253" s="26"/>
      <c r="Q1253" s="26"/>
      <c r="R1253" s="26"/>
      <c r="S1253" s="26"/>
      <c r="T1253" s="26"/>
      <c r="U1253" s="26"/>
      <c r="V1253" s="26"/>
      <c r="W1253" s="26"/>
      <c r="X1253" s="26"/>
      <c r="Y1253" s="26"/>
      <c r="Z1253" s="26"/>
      <c r="AA1253" s="26"/>
      <c r="AB1253" s="26"/>
      <c r="AC1253" s="26"/>
      <c r="AD1253" s="26"/>
      <c r="AE1253" s="26"/>
      <c r="AF1253" s="26"/>
      <c r="AG1253" s="26"/>
      <c r="AH1253" s="26"/>
      <c r="AI1253" s="26"/>
      <c r="AJ1253" s="26"/>
      <c r="AK1253" s="26"/>
      <c r="AL1253" s="26"/>
      <c r="AM1253" s="26"/>
      <c r="AN1253" s="26"/>
      <c r="AO1253" s="26"/>
      <c r="AP1253" s="26"/>
      <c r="AQ1253" s="26"/>
      <c r="AR1253" s="26"/>
      <c r="AS1253" s="26"/>
      <c r="AT1253" s="26"/>
      <c r="AU1253" s="26"/>
      <c r="AV1253" s="26"/>
      <c r="AW1253" s="26"/>
      <c r="AX1253" s="26"/>
      <c r="AY1253" s="26"/>
    </row>
    <row r="1254" spans="1:51" ht="12.75" customHeight="1">
      <c r="A1254" s="26"/>
      <c r="B1254" s="66"/>
      <c r="C1254" s="67"/>
      <c r="D1254" s="67"/>
      <c r="E1254" s="26"/>
      <c r="F1254" s="26"/>
      <c r="G1254" s="26"/>
      <c r="H1254" s="26"/>
      <c r="I1254" s="26"/>
      <c r="J1254" s="26"/>
      <c r="K1254" s="26"/>
      <c r="L1254" s="26"/>
      <c r="M1254" s="26"/>
      <c r="N1254" s="26"/>
      <c r="O1254" s="26"/>
      <c r="P1254" s="26"/>
      <c r="Q1254" s="26"/>
      <c r="R1254" s="26"/>
      <c r="S1254" s="26"/>
      <c r="T1254" s="26"/>
      <c r="U1254" s="26"/>
      <c r="V1254" s="26"/>
      <c r="W1254" s="26"/>
      <c r="X1254" s="26"/>
      <c r="Y1254" s="26"/>
      <c r="Z1254" s="26"/>
      <c r="AA1254" s="26"/>
      <c r="AB1254" s="26"/>
      <c r="AC1254" s="26"/>
      <c r="AD1254" s="26"/>
      <c r="AE1254" s="26"/>
      <c r="AF1254" s="26"/>
      <c r="AG1254" s="26"/>
      <c r="AH1254" s="26"/>
      <c r="AI1254" s="26"/>
      <c r="AJ1254" s="26"/>
      <c r="AK1254" s="26"/>
      <c r="AL1254" s="26"/>
      <c r="AM1254" s="26"/>
      <c r="AN1254" s="26"/>
      <c r="AO1254" s="26"/>
      <c r="AP1254" s="26"/>
      <c r="AQ1254" s="26"/>
      <c r="AR1254" s="26"/>
      <c r="AS1254" s="26"/>
      <c r="AT1254" s="26"/>
      <c r="AU1254" s="26"/>
      <c r="AV1254" s="26"/>
      <c r="AW1254" s="26"/>
      <c r="AX1254" s="26"/>
      <c r="AY1254" s="26"/>
    </row>
    <row r="1255" spans="1:51" ht="12.75" customHeight="1">
      <c r="A1255" s="26"/>
      <c r="B1255" s="66"/>
      <c r="C1255" s="67"/>
      <c r="D1255" s="67"/>
      <c r="E1255" s="26"/>
      <c r="F1255" s="26"/>
      <c r="G1255" s="26"/>
      <c r="H1255" s="26"/>
      <c r="I1255" s="26"/>
      <c r="J1255" s="26"/>
      <c r="K1255" s="26"/>
      <c r="L1255" s="26"/>
      <c r="M1255" s="26"/>
      <c r="N1255" s="26"/>
      <c r="O1255" s="26"/>
      <c r="P1255" s="26"/>
      <c r="Q1255" s="26"/>
      <c r="R1255" s="26"/>
      <c r="S1255" s="26"/>
      <c r="T1255" s="26"/>
      <c r="U1255" s="26"/>
      <c r="V1255" s="26"/>
      <c r="W1255" s="26"/>
      <c r="X1255" s="26"/>
      <c r="Y1255" s="26"/>
      <c r="Z1255" s="26"/>
      <c r="AA1255" s="26"/>
      <c r="AB1255" s="26"/>
      <c r="AC1255" s="26"/>
      <c r="AD1255" s="26"/>
      <c r="AE1255" s="26"/>
      <c r="AF1255" s="26"/>
      <c r="AG1255" s="26"/>
      <c r="AH1255" s="26"/>
      <c r="AI1255" s="26"/>
      <c r="AJ1255" s="26"/>
      <c r="AK1255" s="26"/>
      <c r="AL1255" s="26"/>
      <c r="AM1255" s="26"/>
      <c r="AN1255" s="26"/>
      <c r="AO1255" s="26"/>
      <c r="AP1255" s="26"/>
      <c r="AQ1255" s="26"/>
      <c r="AR1255" s="26"/>
      <c r="AS1255" s="26"/>
      <c r="AT1255" s="26"/>
      <c r="AU1255" s="26"/>
      <c r="AV1255" s="26"/>
      <c r="AW1255" s="26"/>
      <c r="AX1255" s="26"/>
      <c r="AY1255" s="26"/>
    </row>
    <row r="1256" spans="1:51" ht="12.75" customHeight="1">
      <c r="A1256" s="26"/>
      <c r="B1256" s="66"/>
      <c r="C1256" s="67"/>
      <c r="D1256" s="67"/>
      <c r="E1256" s="26"/>
      <c r="F1256" s="26"/>
      <c r="G1256" s="26"/>
      <c r="H1256" s="26"/>
      <c r="I1256" s="26"/>
      <c r="J1256" s="26"/>
      <c r="K1256" s="26"/>
      <c r="L1256" s="26"/>
      <c r="M1256" s="26"/>
      <c r="N1256" s="26"/>
      <c r="O1256" s="26"/>
      <c r="P1256" s="26"/>
      <c r="Q1256" s="26"/>
      <c r="R1256" s="26"/>
      <c r="S1256" s="26"/>
      <c r="T1256" s="26"/>
      <c r="U1256" s="26"/>
      <c r="V1256" s="26"/>
      <c r="W1256" s="26"/>
      <c r="X1256" s="26"/>
      <c r="Y1256" s="26"/>
      <c r="Z1256" s="26"/>
      <c r="AA1256" s="26"/>
      <c r="AB1256" s="26"/>
      <c r="AC1256" s="26"/>
      <c r="AD1256" s="26"/>
      <c r="AE1256" s="26"/>
      <c r="AF1256" s="26"/>
      <c r="AG1256" s="26"/>
      <c r="AH1256" s="26"/>
      <c r="AI1256" s="26"/>
      <c r="AJ1256" s="26"/>
      <c r="AK1256" s="26"/>
      <c r="AL1256" s="26"/>
      <c r="AM1256" s="26"/>
      <c r="AN1256" s="26"/>
      <c r="AO1256" s="26"/>
      <c r="AP1256" s="26"/>
      <c r="AQ1256" s="26"/>
      <c r="AR1256" s="26"/>
      <c r="AS1256" s="26"/>
      <c r="AT1256" s="26"/>
      <c r="AU1256" s="26"/>
      <c r="AV1256" s="26"/>
      <c r="AW1256" s="26"/>
      <c r="AX1256" s="26"/>
      <c r="AY1256" s="26"/>
    </row>
    <row r="1257" spans="1:51" ht="12.75" customHeight="1">
      <c r="A1257" s="26"/>
      <c r="B1257" s="66"/>
      <c r="C1257" s="67"/>
      <c r="D1257" s="67"/>
      <c r="E1257" s="26"/>
      <c r="F1257" s="26"/>
      <c r="G1257" s="26"/>
      <c r="H1257" s="26"/>
      <c r="I1257" s="26"/>
      <c r="J1257" s="26"/>
      <c r="K1257" s="26"/>
      <c r="L1257" s="26"/>
      <c r="M1257" s="26"/>
      <c r="N1257" s="26"/>
      <c r="O1257" s="26"/>
      <c r="P1257" s="26"/>
      <c r="Q1257" s="26"/>
      <c r="R1257" s="26"/>
      <c r="S1257" s="26"/>
      <c r="T1257" s="26"/>
      <c r="U1257" s="26"/>
      <c r="V1257" s="26"/>
      <c r="W1257" s="26"/>
      <c r="X1257" s="26"/>
      <c r="Y1257" s="26"/>
      <c r="Z1257" s="26"/>
      <c r="AA1257" s="26"/>
      <c r="AB1257" s="26"/>
      <c r="AC1257" s="26"/>
      <c r="AD1257" s="26"/>
      <c r="AE1257" s="26"/>
      <c r="AF1257" s="26"/>
      <c r="AG1257" s="26"/>
      <c r="AH1257" s="26"/>
      <c r="AI1257" s="26"/>
      <c r="AJ1257" s="26"/>
      <c r="AK1257" s="26"/>
      <c r="AL1257" s="26"/>
      <c r="AM1257" s="26"/>
      <c r="AN1257" s="26"/>
      <c r="AO1257" s="26"/>
      <c r="AP1257" s="26"/>
      <c r="AQ1257" s="26"/>
      <c r="AR1257" s="26"/>
      <c r="AS1257" s="26"/>
      <c r="AT1257" s="26"/>
      <c r="AU1257" s="26"/>
      <c r="AV1257" s="26"/>
      <c r="AW1257" s="26"/>
      <c r="AX1257" s="26"/>
      <c r="AY1257" s="26"/>
    </row>
    <row r="1258" spans="1:51" ht="12.75" customHeight="1">
      <c r="A1258" s="26"/>
      <c r="B1258" s="66"/>
      <c r="C1258" s="67"/>
      <c r="D1258" s="67"/>
      <c r="E1258" s="26"/>
      <c r="F1258" s="26"/>
      <c r="G1258" s="26"/>
      <c r="H1258" s="26"/>
      <c r="I1258" s="26"/>
      <c r="J1258" s="26"/>
      <c r="K1258" s="26"/>
      <c r="L1258" s="26"/>
      <c r="M1258" s="26"/>
      <c r="N1258" s="26"/>
      <c r="O1258" s="26"/>
      <c r="P1258" s="26"/>
      <c r="Q1258" s="26"/>
      <c r="R1258" s="26"/>
      <c r="S1258" s="26"/>
      <c r="T1258" s="26"/>
      <c r="U1258" s="26"/>
      <c r="V1258" s="26"/>
      <c r="W1258" s="26"/>
      <c r="X1258" s="26"/>
      <c r="Y1258" s="26"/>
      <c r="Z1258" s="26"/>
      <c r="AA1258" s="26"/>
      <c r="AB1258" s="26"/>
      <c r="AC1258" s="26"/>
      <c r="AD1258" s="26"/>
      <c r="AE1258" s="26"/>
      <c r="AF1258" s="26"/>
      <c r="AG1258" s="26"/>
      <c r="AH1258" s="26"/>
      <c r="AI1258" s="26"/>
      <c r="AJ1258" s="26"/>
      <c r="AK1258" s="26"/>
      <c r="AL1258" s="26"/>
      <c r="AM1258" s="26"/>
      <c r="AN1258" s="26"/>
      <c r="AO1258" s="26"/>
      <c r="AP1258" s="26"/>
      <c r="AQ1258" s="26"/>
      <c r="AR1258" s="26"/>
      <c r="AS1258" s="26"/>
      <c r="AT1258" s="26"/>
      <c r="AU1258" s="26"/>
      <c r="AV1258" s="26"/>
      <c r="AW1258" s="26"/>
      <c r="AX1258" s="26"/>
      <c r="AY1258" s="26"/>
    </row>
    <row r="1259" spans="1:51" ht="12.75" customHeight="1">
      <c r="A1259" s="26"/>
      <c r="B1259" s="66"/>
      <c r="C1259" s="67"/>
      <c r="D1259" s="67"/>
      <c r="E1259" s="26"/>
      <c r="F1259" s="26"/>
      <c r="G1259" s="26"/>
      <c r="H1259" s="26"/>
      <c r="I1259" s="26"/>
      <c r="J1259" s="26"/>
      <c r="K1259" s="26"/>
      <c r="L1259" s="26"/>
      <c r="M1259" s="26"/>
      <c r="N1259" s="26"/>
      <c r="O1259" s="26"/>
      <c r="P1259" s="26"/>
      <c r="Q1259" s="26"/>
      <c r="R1259" s="26"/>
      <c r="S1259" s="26"/>
      <c r="T1259" s="26"/>
      <c r="U1259" s="26"/>
      <c r="V1259" s="26"/>
      <c r="W1259" s="26"/>
      <c r="X1259" s="26"/>
      <c r="Y1259" s="26"/>
      <c r="Z1259" s="26"/>
      <c r="AA1259" s="26"/>
      <c r="AB1259" s="26"/>
      <c r="AC1259" s="26"/>
      <c r="AD1259" s="26"/>
      <c r="AE1259" s="26"/>
      <c r="AF1259" s="26"/>
      <c r="AG1259" s="26"/>
      <c r="AH1259" s="26"/>
      <c r="AI1259" s="26"/>
      <c r="AJ1259" s="26"/>
      <c r="AK1259" s="26"/>
      <c r="AL1259" s="26"/>
      <c r="AM1259" s="26"/>
      <c r="AN1259" s="26"/>
      <c r="AO1259" s="26"/>
      <c r="AP1259" s="26"/>
      <c r="AQ1259" s="26"/>
      <c r="AR1259" s="26"/>
      <c r="AS1259" s="26"/>
      <c r="AT1259" s="26"/>
      <c r="AU1259" s="26"/>
      <c r="AV1259" s="26"/>
      <c r="AW1259" s="26"/>
      <c r="AX1259" s="26"/>
      <c r="AY1259" s="26"/>
    </row>
    <row r="1260" spans="1:51" ht="12.75" customHeight="1">
      <c r="A1260" s="26"/>
      <c r="B1260" s="66"/>
      <c r="C1260" s="67"/>
      <c r="D1260" s="67"/>
      <c r="E1260" s="26"/>
      <c r="F1260" s="26"/>
      <c r="G1260" s="26"/>
      <c r="H1260" s="26"/>
      <c r="I1260" s="26"/>
      <c r="J1260" s="26"/>
      <c r="K1260" s="26"/>
      <c r="L1260" s="26"/>
      <c r="M1260" s="26"/>
      <c r="N1260" s="26"/>
      <c r="O1260" s="26"/>
      <c r="P1260" s="26"/>
      <c r="Q1260" s="26"/>
      <c r="R1260" s="26"/>
      <c r="S1260" s="26"/>
      <c r="T1260" s="26"/>
      <c r="U1260" s="26"/>
      <c r="V1260" s="26"/>
      <c r="W1260" s="26"/>
      <c r="X1260" s="26"/>
      <c r="Y1260" s="26"/>
      <c r="Z1260" s="26"/>
      <c r="AA1260" s="26"/>
      <c r="AB1260" s="26"/>
      <c r="AC1260" s="26"/>
      <c r="AD1260" s="26"/>
      <c r="AE1260" s="26"/>
      <c r="AF1260" s="26"/>
      <c r="AG1260" s="26"/>
      <c r="AH1260" s="26"/>
      <c r="AI1260" s="26"/>
      <c r="AJ1260" s="26"/>
      <c r="AK1260" s="26"/>
      <c r="AL1260" s="26"/>
      <c r="AM1260" s="26"/>
      <c r="AN1260" s="26"/>
      <c r="AO1260" s="26"/>
      <c r="AP1260" s="26"/>
      <c r="AQ1260" s="26"/>
      <c r="AR1260" s="26"/>
      <c r="AS1260" s="26"/>
      <c r="AT1260" s="26"/>
      <c r="AU1260" s="26"/>
      <c r="AV1260" s="26"/>
      <c r="AW1260" s="26"/>
      <c r="AX1260" s="26"/>
      <c r="AY1260" s="26"/>
    </row>
    <row r="1261" spans="1:51" ht="12.75" customHeight="1">
      <c r="A1261" s="26"/>
      <c r="B1261" s="66"/>
      <c r="C1261" s="67"/>
      <c r="D1261" s="67"/>
      <c r="E1261" s="26"/>
      <c r="F1261" s="26"/>
      <c r="G1261" s="26"/>
      <c r="H1261" s="26"/>
      <c r="I1261" s="26"/>
      <c r="J1261" s="26"/>
      <c r="K1261" s="26"/>
      <c r="L1261" s="26"/>
      <c r="M1261" s="26"/>
      <c r="N1261" s="26"/>
      <c r="O1261" s="26"/>
      <c r="P1261" s="26"/>
      <c r="Q1261" s="26"/>
      <c r="R1261" s="26"/>
      <c r="S1261" s="26"/>
      <c r="T1261" s="26"/>
      <c r="U1261" s="26"/>
      <c r="V1261" s="26"/>
      <c r="W1261" s="26"/>
      <c r="X1261" s="26"/>
      <c r="Y1261" s="26"/>
      <c r="Z1261" s="26"/>
      <c r="AA1261" s="26"/>
      <c r="AB1261" s="26"/>
      <c r="AC1261" s="26"/>
      <c r="AD1261" s="26"/>
      <c r="AE1261" s="26"/>
      <c r="AF1261" s="26"/>
      <c r="AG1261" s="26"/>
      <c r="AH1261" s="26"/>
      <c r="AI1261" s="26"/>
      <c r="AJ1261" s="26"/>
      <c r="AK1261" s="26"/>
      <c r="AL1261" s="26"/>
      <c r="AM1261" s="26"/>
      <c r="AN1261" s="26"/>
      <c r="AO1261" s="26"/>
      <c r="AP1261" s="26"/>
      <c r="AQ1261" s="26"/>
      <c r="AR1261" s="26"/>
      <c r="AS1261" s="26"/>
      <c r="AT1261" s="26"/>
      <c r="AU1261" s="26"/>
      <c r="AV1261" s="26"/>
      <c r="AW1261" s="26"/>
      <c r="AX1261" s="26"/>
      <c r="AY1261" s="26"/>
    </row>
    <row r="1262" spans="1:51" ht="12.75" customHeight="1">
      <c r="A1262" s="26"/>
      <c r="B1262" s="66"/>
      <c r="C1262" s="67"/>
      <c r="D1262" s="67"/>
      <c r="E1262" s="26"/>
      <c r="F1262" s="26"/>
      <c r="G1262" s="26"/>
      <c r="H1262" s="26"/>
      <c r="I1262" s="26"/>
      <c r="J1262" s="26"/>
      <c r="K1262" s="26"/>
      <c r="L1262" s="26"/>
      <c r="M1262" s="26"/>
      <c r="N1262" s="26"/>
      <c r="O1262" s="26"/>
      <c r="P1262" s="26"/>
      <c r="Q1262" s="26"/>
      <c r="R1262" s="26"/>
      <c r="S1262" s="26"/>
      <c r="T1262" s="26"/>
      <c r="U1262" s="26"/>
      <c r="V1262" s="26"/>
      <c r="W1262" s="26"/>
      <c r="X1262" s="26"/>
      <c r="Y1262" s="26"/>
      <c r="Z1262" s="26"/>
      <c r="AA1262" s="26"/>
      <c r="AB1262" s="26"/>
      <c r="AC1262" s="26"/>
      <c r="AD1262" s="26"/>
      <c r="AE1262" s="26"/>
      <c r="AF1262" s="26"/>
      <c r="AG1262" s="26"/>
      <c r="AH1262" s="26"/>
      <c r="AI1262" s="26"/>
      <c r="AJ1262" s="26"/>
      <c r="AK1262" s="26"/>
      <c r="AL1262" s="26"/>
      <c r="AM1262" s="26"/>
      <c r="AN1262" s="26"/>
      <c r="AO1262" s="26"/>
      <c r="AP1262" s="26"/>
      <c r="AQ1262" s="26"/>
      <c r="AR1262" s="26"/>
      <c r="AS1262" s="26"/>
      <c r="AT1262" s="26"/>
      <c r="AU1262" s="26"/>
      <c r="AV1262" s="26"/>
      <c r="AW1262" s="26"/>
      <c r="AX1262" s="26"/>
      <c r="AY1262" s="26"/>
    </row>
    <row r="1263" spans="1:51" ht="12.75" customHeight="1">
      <c r="A1263" s="26"/>
      <c r="B1263" s="66"/>
      <c r="C1263" s="67"/>
      <c r="D1263" s="67"/>
      <c r="E1263" s="26"/>
      <c r="F1263" s="26"/>
      <c r="G1263" s="26"/>
      <c r="H1263" s="26"/>
      <c r="I1263" s="26"/>
      <c r="J1263" s="26"/>
      <c r="K1263" s="26"/>
      <c r="L1263" s="26"/>
      <c r="M1263" s="26"/>
      <c r="N1263" s="26"/>
      <c r="O1263" s="26"/>
      <c r="P1263" s="26"/>
      <c r="Q1263" s="26"/>
      <c r="R1263" s="26"/>
      <c r="S1263" s="26"/>
      <c r="T1263" s="26"/>
      <c r="U1263" s="26"/>
      <c r="V1263" s="26"/>
      <c r="W1263" s="26"/>
      <c r="X1263" s="26"/>
      <c r="Y1263" s="26"/>
      <c r="Z1263" s="26"/>
      <c r="AA1263" s="26"/>
      <c r="AB1263" s="26"/>
      <c r="AC1263" s="26"/>
      <c r="AD1263" s="26"/>
      <c r="AE1263" s="26"/>
      <c r="AF1263" s="26"/>
      <c r="AG1263" s="26"/>
      <c r="AH1263" s="26"/>
      <c r="AI1263" s="26"/>
      <c r="AJ1263" s="26"/>
      <c r="AK1263" s="26"/>
      <c r="AL1263" s="26"/>
      <c r="AM1263" s="26"/>
      <c r="AN1263" s="26"/>
      <c r="AO1263" s="26"/>
      <c r="AP1263" s="26"/>
      <c r="AQ1263" s="26"/>
      <c r="AR1263" s="26"/>
      <c r="AS1263" s="26"/>
      <c r="AT1263" s="26"/>
      <c r="AU1263" s="26"/>
      <c r="AV1263" s="26"/>
      <c r="AW1263" s="26"/>
      <c r="AX1263" s="26"/>
      <c r="AY1263" s="26"/>
    </row>
    <row r="1264" spans="1:51" ht="12.75" customHeight="1">
      <c r="A1264" s="26"/>
      <c r="B1264" s="66"/>
      <c r="C1264" s="67"/>
      <c r="D1264" s="67"/>
      <c r="E1264" s="26"/>
      <c r="F1264" s="26"/>
      <c r="G1264" s="26"/>
      <c r="H1264" s="26"/>
      <c r="I1264" s="26"/>
      <c r="J1264" s="26"/>
      <c r="K1264" s="26"/>
      <c r="L1264" s="26"/>
      <c r="M1264" s="26"/>
      <c r="N1264" s="26"/>
      <c r="O1264" s="26"/>
      <c r="P1264" s="26"/>
      <c r="Q1264" s="26"/>
      <c r="R1264" s="26"/>
      <c r="S1264" s="26"/>
      <c r="T1264" s="26"/>
      <c r="U1264" s="26"/>
      <c r="V1264" s="26"/>
      <c r="W1264" s="26"/>
      <c r="X1264" s="26"/>
      <c r="Y1264" s="26"/>
      <c r="Z1264" s="26"/>
      <c r="AA1264" s="26"/>
      <c r="AB1264" s="26"/>
      <c r="AC1264" s="26"/>
      <c r="AD1264" s="26"/>
      <c r="AE1264" s="26"/>
      <c r="AF1264" s="26"/>
      <c r="AG1264" s="26"/>
      <c r="AH1264" s="26"/>
      <c r="AI1264" s="26"/>
      <c r="AJ1264" s="26"/>
      <c r="AK1264" s="26"/>
      <c r="AL1264" s="26"/>
      <c r="AM1264" s="26"/>
      <c r="AN1264" s="26"/>
      <c r="AO1264" s="26"/>
      <c r="AP1264" s="26"/>
      <c r="AQ1264" s="26"/>
      <c r="AR1264" s="26"/>
      <c r="AS1264" s="26"/>
      <c r="AT1264" s="26"/>
      <c r="AU1264" s="26"/>
      <c r="AV1264" s="26"/>
      <c r="AW1264" s="26"/>
      <c r="AX1264" s="26"/>
      <c r="AY1264" s="26"/>
    </row>
    <row r="1265" spans="1:51" ht="12.75" customHeight="1">
      <c r="A1265" s="26"/>
      <c r="B1265" s="66"/>
      <c r="C1265" s="67"/>
      <c r="D1265" s="67"/>
      <c r="E1265" s="26"/>
      <c r="F1265" s="26"/>
      <c r="G1265" s="26"/>
      <c r="H1265" s="26"/>
      <c r="I1265" s="26"/>
      <c r="J1265" s="26"/>
      <c r="K1265" s="26"/>
      <c r="L1265" s="26"/>
      <c r="M1265" s="26"/>
      <c r="N1265" s="26"/>
      <c r="O1265" s="26"/>
      <c r="P1265" s="26"/>
      <c r="Q1265" s="26"/>
      <c r="R1265" s="26"/>
      <c r="S1265" s="26"/>
      <c r="T1265" s="26"/>
      <c r="U1265" s="26"/>
      <c r="V1265" s="26"/>
      <c r="W1265" s="26"/>
      <c r="X1265" s="26"/>
      <c r="Y1265" s="26"/>
      <c r="Z1265" s="26"/>
      <c r="AA1265" s="26"/>
      <c r="AB1265" s="26"/>
      <c r="AC1265" s="26"/>
      <c r="AD1265" s="26"/>
      <c r="AE1265" s="26"/>
      <c r="AF1265" s="26"/>
      <c r="AG1265" s="26"/>
      <c r="AH1265" s="26"/>
      <c r="AI1265" s="26"/>
      <c r="AJ1265" s="26"/>
      <c r="AK1265" s="26"/>
      <c r="AL1265" s="26"/>
      <c r="AM1265" s="26"/>
      <c r="AN1265" s="26"/>
      <c r="AO1265" s="26"/>
      <c r="AP1265" s="26"/>
      <c r="AQ1265" s="26"/>
      <c r="AR1265" s="26"/>
      <c r="AS1265" s="26"/>
      <c r="AT1265" s="26"/>
      <c r="AU1265" s="26"/>
      <c r="AV1265" s="26"/>
      <c r="AW1265" s="26"/>
      <c r="AX1265" s="26"/>
      <c r="AY1265" s="26"/>
    </row>
    <row r="1266" spans="1:51" ht="12.75" customHeight="1">
      <c r="A1266" s="26"/>
      <c r="B1266" s="66"/>
      <c r="C1266" s="67"/>
      <c r="D1266" s="67"/>
      <c r="E1266" s="26"/>
      <c r="F1266" s="26"/>
      <c r="G1266" s="26"/>
      <c r="H1266" s="26"/>
      <c r="I1266" s="26"/>
      <c r="J1266" s="26"/>
      <c r="K1266" s="26"/>
      <c r="L1266" s="26"/>
      <c r="M1266" s="26"/>
      <c r="N1266" s="26"/>
      <c r="O1266" s="26"/>
      <c r="P1266" s="26"/>
      <c r="Q1266" s="26"/>
      <c r="R1266" s="26"/>
      <c r="S1266" s="26"/>
      <c r="T1266" s="26"/>
      <c r="U1266" s="26"/>
      <c r="V1266" s="26"/>
      <c r="W1266" s="26"/>
      <c r="X1266" s="26"/>
      <c r="Y1266" s="26"/>
      <c r="Z1266" s="26"/>
      <c r="AA1266" s="26"/>
      <c r="AB1266" s="26"/>
      <c r="AC1266" s="26"/>
      <c r="AD1266" s="26"/>
      <c r="AE1266" s="26"/>
      <c r="AF1266" s="26"/>
      <c r="AG1266" s="26"/>
      <c r="AH1266" s="26"/>
      <c r="AI1266" s="26"/>
      <c r="AJ1266" s="26"/>
      <c r="AK1266" s="26"/>
      <c r="AL1266" s="26"/>
      <c r="AM1266" s="26"/>
      <c r="AN1266" s="26"/>
      <c r="AO1266" s="26"/>
      <c r="AP1266" s="26"/>
      <c r="AQ1266" s="26"/>
      <c r="AR1266" s="26"/>
      <c r="AS1266" s="26"/>
      <c r="AT1266" s="26"/>
      <c r="AU1266" s="26"/>
      <c r="AV1266" s="26"/>
      <c r="AW1266" s="26"/>
      <c r="AX1266" s="26"/>
      <c r="AY1266" s="26"/>
    </row>
    <row r="1267" spans="1:51" ht="12.75" customHeight="1">
      <c r="A1267" s="26"/>
      <c r="B1267" s="66"/>
      <c r="C1267" s="67"/>
      <c r="D1267" s="67"/>
      <c r="E1267" s="26"/>
      <c r="F1267" s="26"/>
      <c r="G1267" s="26"/>
      <c r="H1267" s="26"/>
      <c r="I1267" s="26"/>
      <c r="J1267" s="26"/>
      <c r="K1267" s="26"/>
      <c r="L1267" s="26"/>
      <c r="M1267" s="26"/>
      <c r="N1267" s="26"/>
      <c r="O1267" s="26"/>
      <c r="P1267" s="26"/>
      <c r="Q1267" s="26"/>
      <c r="R1267" s="26"/>
      <c r="S1267" s="26"/>
      <c r="T1267" s="26"/>
      <c r="U1267" s="26"/>
      <c r="V1267" s="26"/>
      <c r="W1267" s="26"/>
      <c r="X1267" s="26"/>
      <c r="Y1267" s="26"/>
      <c r="Z1267" s="26"/>
      <c r="AA1267" s="26"/>
      <c r="AB1267" s="26"/>
      <c r="AC1267" s="26"/>
      <c r="AD1267" s="26"/>
      <c r="AE1267" s="26"/>
      <c r="AF1267" s="26"/>
      <c r="AG1267" s="26"/>
      <c r="AH1267" s="26"/>
      <c r="AI1267" s="26"/>
      <c r="AJ1267" s="26"/>
      <c r="AK1267" s="26"/>
      <c r="AL1267" s="26"/>
      <c r="AM1267" s="26"/>
      <c r="AN1267" s="26"/>
      <c r="AO1267" s="26"/>
      <c r="AP1267" s="26"/>
      <c r="AQ1267" s="26"/>
      <c r="AR1267" s="26"/>
      <c r="AS1267" s="26"/>
      <c r="AT1267" s="26"/>
      <c r="AU1267" s="26"/>
      <c r="AV1267" s="26"/>
      <c r="AW1267" s="26"/>
      <c r="AX1267" s="26"/>
      <c r="AY1267" s="26"/>
    </row>
    <row r="1268" spans="1:51" ht="12.75" customHeight="1">
      <c r="A1268" s="26"/>
      <c r="B1268" s="66"/>
      <c r="C1268" s="67"/>
      <c r="D1268" s="67"/>
      <c r="E1268" s="26"/>
      <c r="F1268" s="26"/>
      <c r="G1268" s="26"/>
      <c r="H1268" s="26"/>
      <c r="I1268" s="26"/>
      <c r="J1268" s="26"/>
      <c r="K1268" s="26"/>
      <c r="L1268" s="26"/>
      <c r="M1268" s="26"/>
      <c r="N1268" s="26"/>
      <c r="O1268" s="26"/>
      <c r="P1268" s="26"/>
      <c r="Q1268" s="26"/>
      <c r="R1268" s="26"/>
      <c r="S1268" s="26"/>
      <c r="T1268" s="26"/>
      <c r="U1268" s="26"/>
      <c r="V1268" s="26"/>
      <c r="W1268" s="26"/>
      <c r="X1268" s="26"/>
      <c r="Y1268" s="26"/>
      <c r="Z1268" s="26"/>
      <c r="AA1268" s="26"/>
      <c r="AB1268" s="26"/>
      <c r="AC1268" s="26"/>
      <c r="AD1268" s="26"/>
      <c r="AE1268" s="26"/>
      <c r="AF1268" s="26"/>
      <c r="AG1268" s="26"/>
      <c r="AH1268" s="26"/>
      <c r="AI1268" s="26"/>
      <c r="AJ1268" s="26"/>
      <c r="AK1268" s="26"/>
      <c r="AL1268" s="26"/>
      <c r="AM1268" s="26"/>
      <c r="AN1268" s="26"/>
      <c r="AO1268" s="26"/>
      <c r="AP1268" s="26"/>
      <c r="AQ1268" s="26"/>
      <c r="AR1268" s="26"/>
      <c r="AS1268" s="26"/>
      <c r="AT1268" s="26"/>
      <c r="AU1268" s="26"/>
      <c r="AV1268" s="26"/>
      <c r="AW1268" s="26"/>
      <c r="AX1268" s="26"/>
      <c r="AY1268" s="26"/>
    </row>
    <row r="1269" spans="1:51" ht="12.75" customHeight="1">
      <c r="A1269" s="26"/>
      <c r="B1269" s="66"/>
      <c r="C1269" s="67"/>
      <c r="D1269" s="67"/>
      <c r="E1269" s="26"/>
      <c r="F1269" s="26"/>
      <c r="G1269" s="26"/>
      <c r="H1269" s="26"/>
      <c r="I1269" s="26"/>
      <c r="J1269" s="26"/>
      <c r="K1269" s="26"/>
      <c r="L1269" s="26"/>
      <c r="M1269" s="26"/>
      <c r="N1269" s="26"/>
      <c r="O1269" s="26"/>
      <c r="P1269" s="26"/>
      <c r="Q1269" s="26"/>
      <c r="R1269" s="26"/>
      <c r="S1269" s="26"/>
      <c r="T1269" s="26"/>
      <c r="U1269" s="26"/>
      <c r="V1269" s="26"/>
      <c r="W1269" s="26"/>
      <c r="X1269" s="26"/>
      <c r="Y1269" s="26"/>
      <c r="Z1269" s="26"/>
      <c r="AA1269" s="26"/>
      <c r="AB1269" s="26"/>
      <c r="AC1269" s="26"/>
      <c r="AD1269" s="26"/>
      <c r="AE1269" s="26"/>
      <c r="AF1269" s="26"/>
      <c r="AG1269" s="26"/>
      <c r="AH1269" s="26"/>
      <c r="AI1269" s="26"/>
      <c r="AJ1269" s="26"/>
      <c r="AK1269" s="26"/>
      <c r="AL1269" s="26"/>
      <c r="AM1269" s="26"/>
      <c r="AN1269" s="26"/>
      <c r="AO1269" s="26"/>
      <c r="AP1269" s="26"/>
      <c r="AQ1269" s="26"/>
      <c r="AR1269" s="26"/>
      <c r="AS1269" s="26"/>
      <c r="AT1269" s="26"/>
      <c r="AU1269" s="26"/>
      <c r="AV1269" s="26"/>
      <c r="AW1269" s="26"/>
      <c r="AX1269" s="26"/>
      <c r="AY1269" s="26"/>
    </row>
    <row r="1270" spans="1:51" ht="12.75" customHeight="1">
      <c r="A1270" s="26"/>
      <c r="B1270" s="66"/>
      <c r="C1270" s="67"/>
      <c r="D1270" s="67"/>
      <c r="E1270" s="26"/>
      <c r="F1270" s="26"/>
      <c r="G1270" s="26"/>
      <c r="H1270" s="26"/>
      <c r="I1270" s="26"/>
      <c r="J1270" s="26"/>
      <c r="K1270" s="26"/>
      <c r="L1270" s="26"/>
      <c r="M1270" s="26"/>
      <c r="N1270" s="26"/>
      <c r="O1270" s="26"/>
      <c r="P1270" s="26"/>
      <c r="Q1270" s="26"/>
      <c r="R1270" s="26"/>
      <c r="S1270" s="26"/>
      <c r="T1270" s="26"/>
      <c r="U1270" s="26"/>
      <c r="V1270" s="26"/>
      <c r="W1270" s="26"/>
      <c r="X1270" s="26"/>
      <c r="Y1270" s="26"/>
      <c r="Z1270" s="26"/>
      <c r="AA1270" s="26"/>
      <c r="AB1270" s="26"/>
      <c r="AC1270" s="26"/>
      <c r="AD1270" s="26"/>
      <c r="AE1270" s="26"/>
      <c r="AF1270" s="26"/>
      <c r="AG1270" s="26"/>
      <c r="AH1270" s="26"/>
      <c r="AI1270" s="26"/>
      <c r="AJ1270" s="26"/>
      <c r="AK1270" s="26"/>
      <c r="AL1270" s="26"/>
      <c r="AM1270" s="26"/>
      <c r="AN1270" s="26"/>
      <c r="AO1270" s="26"/>
      <c r="AP1270" s="26"/>
      <c r="AQ1270" s="26"/>
      <c r="AR1270" s="26"/>
      <c r="AS1270" s="26"/>
      <c r="AT1270" s="26"/>
      <c r="AU1270" s="26"/>
      <c r="AV1270" s="26"/>
      <c r="AW1270" s="26"/>
      <c r="AX1270" s="26"/>
      <c r="AY1270" s="26"/>
    </row>
    <row r="1271" spans="1:51" ht="12.75" customHeight="1">
      <c r="A1271" s="26"/>
      <c r="B1271" s="66"/>
      <c r="C1271" s="67"/>
      <c r="D1271" s="67"/>
      <c r="E1271" s="26"/>
      <c r="F1271" s="26"/>
      <c r="G1271" s="26"/>
      <c r="H1271" s="26"/>
      <c r="I1271" s="26"/>
      <c r="J1271" s="26"/>
      <c r="K1271" s="26"/>
      <c r="L1271" s="26"/>
      <c r="M1271" s="26"/>
      <c r="N1271" s="26"/>
      <c r="O1271" s="26"/>
      <c r="P1271" s="26"/>
      <c r="Q1271" s="26"/>
      <c r="R1271" s="26"/>
      <c r="S1271" s="26"/>
      <c r="T1271" s="26"/>
      <c r="U1271" s="26"/>
      <c r="V1271" s="26"/>
      <c r="W1271" s="26"/>
      <c r="X1271" s="26"/>
      <c r="Y1271" s="26"/>
      <c r="Z1271" s="26"/>
      <c r="AA1271" s="26"/>
      <c r="AB1271" s="26"/>
      <c r="AC1271" s="26"/>
      <c r="AD1271" s="26"/>
      <c r="AE1271" s="26"/>
      <c r="AF1271" s="26"/>
      <c r="AG1271" s="26"/>
      <c r="AH1271" s="26"/>
      <c r="AI1271" s="26"/>
      <c r="AJ1271" s="26"/>
      <c r="AK1271" s="26"/>
      <c r="AL1271" s="26"/>
      <c r="AM1271" s="26"/>
      <c r="AN1271" s="26"/>
      <c r="AO1271" s="26"/>
      <c r="AP1271" s="26"/>
      <c r="AQ1271" s="26"/>
      <c r="AR1271" s="26"/>
      <c r="AS1271" s="26"/>
      <c r="AT1271" s="26"/>
      <c r="AU1271" s="26"/>
      <c r="AV1271" s="26"/>
      <c r="AW1271" s="26"/>
      <c r="AX1271" s="26"/>
      <c r="AY1271" s="26"/>
    </row>
    <row r="1272" spans="1:51" ht="12.75" customHeight="1">
      <c r="A1272" s="26"/>
      <c r="B1272" s="66"/>
      <c r="C1272" s="67"/>
      <c r="D1272" s="67"/>
      <c r="E1272" s="26"/>
      <c r="F1272" s="26"/>
      <c r="G1272" s="26"/>
      <c r="H1272" s="26"/>
      <c r="I1272" s="26"/>
      <c r="J1272" s="26"/>
      <c r="K1272" s="26"/>
      <c r="L1272" s="26"/>
      <c r="M1272" s="26"/>
      <c r="N1272" s="26"/>
      <c r="O1272" s="26"/>
      <c r="P1272" s="26"/>
      <c r="Q1272" s="26"/>
      <c r="R1272" s="26"/>
      <c r="S1272" s="26"/>
      <c r="T1272" s="26"/>
      <c r="U1272" s="26"/>
      <c r="V1272" s="26"/>
      <c r="W1272" s="26"/>
      <c r="X1272" s="26"/>
      <c r="Y1272" s="26"/>
      <c r="Z1272" s="26"/>
      <c r="AA1272" s="26"/>
      <c r="AB1272" s="26"/>
      <c r="AC1272" s="26"/>
      <c r="AD1272" s="26"/>
      <c r="AE1272" s="26"/>
      <c r="AF1272" s="26"/>
      <c r="AG1272" s="26"/>
      <c r="AH1272" s="26"/>
      <c r="AI1272" s="26"/>
      <c r="AJ1272" s="26"/>
      <c r="AK1272" s="26"/>
      <c r="AL1272" s="26"/>
      <c r="AM1272" s="26"/>
      <c r="AN1272" s="26"/>
      <c r="AO1272" s="26"/>
      <c r="AP1272" s="26"/>
      <c r="AQ1272" s="26"/>
      <c r="AR1272" s="26"/>
      <c r="AS1272" s="26"/>
      <c r="AT1272" s="26"/>
      <c r="AU1272" s="26"/>
      <c r="AV1272" s="26"/>
      <c r="AW1272" s="26"/>
      <c r="AX1272" s="26"/>
      <c r="AY1272" s="26"/>
    </row>
    <row r="1273" spans="1:51" ht="12.75" customHeight="1">
      <c r="A1273" s="26"/>
      <c r="B1273" s="66"/>
      <c r="C1273" s="67"/>
      <c r="D1273" s="67"/>
      <c r="E1273" s="26"/>
      <c r="F1273" s="26"/>
      <c r="G1273" s="26"/>
      <c r="H1273" s="26"/>
      <c r="I1273" s="26"/>
      <c r="J1273" s="26"/>
      <c r="K1273" s="26"/>
      <c r="L1273" s="26"/>
      <c r="M1273" s="26"/>
      <c r="N1273" s="26"/>
      <c r="O1273" s="26"/>
      <c r="P1273" s="26"/>
      <c r="Q1273" s="26"/>
      <c r="R1273" s="26"/>
      <c r="S1273" s="26"/>
      <c r="T1273" s="26"/>
      <c r="U1273" s="26"/>
      <c r="V1273" s="26"/>
      <c r="W1273" s="26"/>
      <c r="X1273" s="26"/>
      <c r="Y1273" s="26"/>
      <c r="Z1273" s="26"/>
      <c r="AA1273" s="26"/>
      <c r="AB1273" s="26"/>
      <c r="AC1273" s="26"/>
      <c r="AD1273" s="26"/>
      <c r="AE1273" s="26"/>
      <c r="AF1273" s="26"/>
      <c r="AG1273" s="26"/>
      <c r="AH1273" s="26"/>
      <c r="AI1273" s="26"/>
      <c r="AJ1273" s="26"/>
      <c r="AK1273" s="26"/>
      <c r="AL1273" s="26"/>
      <c r="AM1273" s="26"/>
      <c r="AN1273" s="26"/>
      <c r="AO1273" s="26"/>
      <c r="AP1273" s="26"/>
      <c r="AQ1273" s="26"/>
      <c r="AR1273" s="26"/>
      <c r="AS1273" s="26"/>
      <c r="AT1273" s="26"/>
      <c r="AU1273" s="26"/>
      <c r="AV1273" s="26"/>
      <c r="AW1273" s="26"/>
      <c r="AX1273" s="26"/>
      <c r="AY1273" s="26"/>
    </row>
    <row r="1274" spans="1:51" ht="12.75" customHeight="1">
      <c r="A1274" s="26"/>
      <c r="B1274" s="66"/>
      <c r="C1274" s="67"/>
      <c r="D1274" s="67"/>
      <c r="E1274" s="26"/>
      <c r="F1274" s="26"/>
      <c r="G1274" s="26"/>
      <c r="H1274" s="26"/>
      <c r="I1274" s="26"/>
      <c r="J1274" s="26"/>
      <c r="K1274" s="26"/>
      <c r="L1274" s="26"/>
      <c r="M1274" s="26"/>
      <c r="N1274" s="26"/>
      <c r="O1274" s="26"/>
      <c r="P1274" s="26"/>
      <c r="Q1274" s="26"/>
      <c r="R1274" s="26"/>
      <c r="S1274" s="26"/>
      <c r="T1274" s="26"/>
      <c r="U1274" s="26"/>
      <c r="V1274" s="26"/>
      <c r="W1274" s="26"/>
      <c r="X1274" s="26"/>
      <c r="Y1274" s="26"/>
      <c r="Z1274" s="26"/>
      <c r="AA1274" s="26"/>
      <c r="AB1274" s="26"/>
      <c r="AC1274" s="26"/>
      <c r="AD1274" s="26"/>
      <c r="AE1274" s="26"/>
      <c r="AF1274" s="26"/>
      <c r="AG1274" s="26"/>
      <c r="AH1274" s="26"/>
      <c r="AI1274" s="26"/>
      <c r="AJ1274" s="26"/>
      <c r="AK1274" s="26"/>
      <c r="AL1274" s="26"/>
      <c r="AM1274" s="26"/>
      <c r="AN1274" s="26"/>
      <c r="AO1274" s="26"/>
      <c r="AP1274" s="26"/>
      <c r="AQ1274" s="26"/>
      <c r="AR1274" s="26"/>
      <c r="AS1274" s="26"/>
      <c r="AT1274" s="26"/>
      <c r="AU1274" s="26"/>
      <c r="AV1274" s="26"/>
      <c r="AW1274" s="26"/>
      <c r="AX1274" s="26"/>
      <c r="AY1274" s="26"/>
    </row>
    <row r="1275" spans="1:51" ht="12.75" customHeight="1">
      <c r="A1275" s="26"/>
      <c r="B1275" s="66"/>
      <c r="C1275" s="67"/>
      <c r="D1275" s="67"/>
      <c r="E1275" s="26"/>
      <c r="F1275" s="26"/>
      <c r="G1275" s="26"/>
      <c r="H1275" s="26"/>
      <c r="I1275" s="26"/>
      <c r="J1275" s="26"/>
      <c r="K1275" s="26"/>
      <c r="L1275" s="26"/>
      <c r="M1275" s="26"/>
      <c r="N1275" s="26"/>
      <c r="O1275" s="26"/>
      <c r="P1275" s="26"/>
      <c r="Q1275" s="26"/>
      <c r="R1275" s="26"/>
      <c r="S1275" s="26"/>
      <c r="T1275" s="26"/>
      <c r="U1275" s="26"/>
      <c r="V1275" s="26"/>
      <c r="W1275" s="26"/>
      <c r="X1275" s="26"/>
      <c r="Y1275" s="26"/>
      <c r="Z1275" s="26"/>
      <c r="AA1275" s="26"/>
      <c r="AB1275" s="26"/>
      <c r="AC1275" s="26"/>
      <c r="AD1275" s="26"/>
      <c r="AE1275" s="26"/>
      <c r="AF1275" s="26"/>
      <c r="AG1275" s="26"/>
      <c r="AH1275" s="26"/>
      <c r="AI1275" s="26"/>
      <c r="AJ1275" s="26"/>
      <c r="AK1275" s="26"/>
      <c r="AL1275" s="26"/>
      <c r="AM1275" s="26"/>
      <c r="AN1275" s="26"/>
      <c r="AO1275" s="26"/>
      <c r="AP1275" s="26"/>
      <c r="AQ1275" s="26"/>
      <c r="AR1275" s="26"/>
      <c r="AS1275" s="26"/>
      <c r="AT1275" s="26"/>
      <c r="AU1275" s="26"/>
      <c r="AV1275" s="26"/>
      <c r="AW1275" s="26"/>
      <c r="AX1275" s="26"/>
      <c r="AY1275" s="26"/>
    </row>
    <row r="1276" spans="1:51" ht="12.75" customHeight="1">
      <c r="A1276" s="26"/>
      <c r="B1276" s="66"/>
      <c r="C1276" s="67"/>
      <c r="D1276" s="67"/>
      <c r="E1276" s="26"/>
      <c r="F1276" s="26"/>
      <c r="G1276" s="26"/>
      <c r="H1276" s="26"/>
      <c r="I1276" s="26"/>
      <c r="J1276" s="26"/>
      <c r="K1276" s="26"/>
      <c r="L1276" s="26"/>
      <c r="M1276" s="26"/>
      <c r="N1276" s="26"/>
      <c r="O1276" s="26"/>
      <c r="P1276" s="26"/>
      <c r="Q1276" s="26"/>
      <c r="R1276" s="26"/>
      <c r="S1276" s="26"/>
      <c r="T1276" s="26"/>
      <c r="U1276" s="26"/>
      <c r="V1276" s="26"/>
      <c r="W1276" s="26"/>
      <c r="X1276" s="26"/>
      <c r="Y1276" s="26"/>
      <c r="Z1276" s="26"/>
      <c r="AA1276" s="26"/>
      <c r="AB1276" s="26"/>
      <c r="AC1276" s="26"/>
      <c r="AD1276" s="26"/>
      <c r="AE1276" s="26"/>
      <c r="AF1276" s="26"/>
      <c r="AG1276" s="26"/>
      <c r="AH1276" s="26"/>
      <c r="AI1276" s="26"/>
      <c r="AJ1276" s="26"/>
      <c r="AK1276" s="26"/>
      <c r="AL1276" s="26"/>
      <c r="AM1276" s="26"/>
      <c r="AN1276" s="26"/>
      <c r="AO1276" s="26"/>
      <c r="AP1276" s="26"/>
      <c r="AQ1276" s="26"/>
      <c r="AR1276" s="26"/>
      <c r="AS1276" s="26"/>
      <c r="AT1276" s="26"/>
      <c r="AU1276" s="26"/>
      <c r="AV1276" s="26"/>
      <c r="AW1276" s="26"/>
      <c r="AX1276" s="26"/>
      <c r="AY1276" s="26"/>
    </row>
    <row r="1277" spans="1:51" ht="12.75" customHeight="1">
      <c r="A1277" s="26"/>
      <c r="B1277" s="66"/>
      <c r="C1277" s="67"/>
      <c r="D1277" s="67"/>
      <c r="E1277" s="26"/>
      <c r="F1277" s="26"/>
      <c r="G1277" s="26"/>
      <c r="H1277" s="26"/>
      <c r="I1277" s="26"/>
      <c r="J1277" s="26"/>
      <c r="K1277" s="26"/>
      <c r="L1277" s="26"/>
      <c r="M1277" s="26"/>
      <c r="N1277" s="26"/>
      <c r="O1277" s="26"/>
      <c r="P1277" s="26"/>
      <c r="Q1277" s="26"/>
      <c r="R1277" s="26"/>
      <c r="S1277" s="26"/>
      <c r="T1277" s="26"/>
      <c r="U1277" s="26"/>
      <c r="V1277" s="26"/>
      <c r="W1277" s="26"/>
      <c r="X1277" s="26"/>
      <c r="Y1277" s="26"/>
      <c r="Z1277" s="26"/>
      <c r="AA1277" s="26"/>
      <c r="AB1277" s="26"/>
      <c r="AC1277" s="26"/>
      <c r="AD1277" s="26"/>
      <c r="AE1277" s="26"/>
      <c r="AF1277" s="26"/>
      <c r="AG1277" s="26"/>
      <c r="AH1277" s="26"/>
      <c r="AI1277" s="26"/>
      <c r="AJ1277" s="26"/>
      <c r="AK1277" s="26"/>
      <c r="AL1277" s="26"/>
      <c r="AM1277" s="26"/>
      <c r="AN1277" s="26"/>
      <c r="AO1277" s="26"/>
      <c r="AP1277" s="26"/>
      <c r="AQ1277" s="26"/>
      <c r="AR1277" s="26"/>
      <c r="AS1277" s="26"/>
      <c r="AT1277" s="26"/>
      <c r="AU1277" s="26"/>
      <c r="AV1277" s="26"/>
      <c r="AW1277" s="26"/>
      <c r="AX1277" s="26"/>
      <c r="AY1277" s="26"/>
    </row>
    <row r="1278" spans="1:51" ht="12.75" customHeight="1">
      <c r="A1278" s="26"/>
      <c r="B1278" s="66"/>
      <c r="C1278" s="67"/>
      <c r="D1278" s="67"/>
      <c r="E1278" s="26"/>
      <c r="F1278" s="26"/>
      <c r="G1278" s="26"/>
      <c r="H1278" s="26"/>
      <c r="I1278" s="26"/>
      <c r="J1278" s="26"/>
      <c r="K1278" s="26"/>
      <c r="L1278" s="26"/>
      <c r="M1278" s="26"/>
      <c r="N1278" s="26"/>
      <c r="O1278" s="26"/>
      <c r="P1278" s="26"/>
      <c r="Q1278" s="26"/>
      <c r="R1278" s="26"/>
      <c r="S1278" s="26"/>
      <c r="T1278" s="26"/>
      <c r="U1278" s="26"/>
      <c r="V1278" s="26"/>
      <c r="W1278" s="26"/>
      <c r="X1278" s="26"/>
      <c r="Y1278" s="26"/>
      <c r="Z1278" s="26"/>
      <c r="AA1278" s="26"/>
      <c r="AB1278" s="26"/>
      <c r="AC1278" s="26"/>
      <c r="AD1278" s="26"/>
      <c r="AE1278" s="26"/>
      <c r="AF1278" s="26"/>
      <c r="AG1278" s="26"/>
      <c r="AH1278" s="26"/>
      <c r="AI1278" s="26"/>
      <c r="AJ1278" s="26"/>
      <c r="AK1278" s="26"/>
      <c r="AL1278" s="26"/>
      <c r="AM1278" s="26"/>
      <c r="AN1278" s="26"/>
      <c r="AO1278" s="26"/>
      <c r="AP1278" s="26"/>
      <c r="AQ1278" s="26"/>
      <c r="AR1278" s="26"/>
      <c r="AS1278" s="26"/>
      <c r="AT1278" s="26"/>
      <c r="AU1278" s="26"/>
      <c r="AV1278" s="26"/>
      <c r="AW1278" s="26"/>
      <c r="AX1278" s="26"/>
      <c r="AY1278" s="26"/>
    </row>
    <row r="1279" spans="1:51" ht="12.75" customHeight="1">
      <c r="A1279" s="26"/>
      <c r="B1279" s="66"/>
      <c r="C1279" s="67"/>
      <c r="D1279" s="67"/>
      <c r="E1279" s="26"/>
      <c r="F1279" s="26"/>
      <c r="G1279" s="26"/>
      <c r="H1279" s="26"/>
      <c r="I1279" s="26"/>
      <c r="J1279" s="26"/>
      <c r="K1279" s="26"/>
      <c r="L1279" s="26"/>
      <c r="M1279" s="26"/>
      <c r="N1279" s="26"/>
      <c r="O1279" s="26"/>
      <c r="P1279" s="26"/>
      <c r="Q1279" s="26"/>
      <c r="R1279" s="26"/>
      <c r="S1279" s="26"/>
      <c r="T1279" s="26"/>
      <c r="U1279" s="26"/>
      <c r="V1279" s="26"/>
      <c r="W1279" s="26"/>
      <c r="X1279" s="26"/>
      <c r="Y1279" s="26"/>
      <c r="Z1279" s="26"/>
      <c r="AA1279" s="26"/>
      <c r="AB1279" s="26"/>
      <c r="AC1279" s="26"/>
      <c r="AD1279" s="26"/>
      <c r="AE1279" s="26"/>
      <c r="AF1279" s="26"/>
      <c r="AG1279" s="26"/>
      <c r="AH1279" s="26"/>
      <c r="AI1279" s="26"/>
      <c r="AJ1279" s="26"/>
      <c r="AK1279" s="26"/>
      <c r="AL1279" s="26"/>
      <c r="AM1279" s="26"/>
      <c r="AN1279" s="26"/>
      <c r="AO1279" s="26"/>
      <c r="AP1279" s="26"/>
      <c r="AQ1279" s="26"/>
      <c r="AR1279" s="26"/>
      <c r="AS1279" s="26"/>
      <c r="AT1279" s="26"/>
      <c r="AU1279" s="26"/>
      <c r="AV1279" s="26"/>
      <c r="AW1279" s="26"/>
      <c r="AX1279" s="26"/>
      <c r="AY1279" s="26"/>
    </row>
    <row r="1280" spans="1:51" ht="12.75" customHeight="1">
      <c r="A1280" s="26"/>
      <c r="B1280" s="66"/>
      <c r="C1280" s="67"/>
      <c r="D1280" s="67"/>
      <c r="E1280" s="26"/>
      <c r="F1280" s="26"/>
      <c r="G1280" s="26"/>
      <c r="H1280" s="26"/>
      <c r="I1280" s="26"/>
      <c r="J1280" s="26"/>
      <c r="K1280" s="26"/>
      <c r="L1280" s="26"/>
      <c r="M1280" s="26"/>
      <c r="N1280" s="26"/>
      <c r="O1280" s="26"/>
      <c r="P1280" s="26"/>
      <c r="Q1280" s="26"/>
      <c r="R1280" s="26"/>
      <c r="S1280" s="38"/>
      <c r="T1280" s="26"/>
      <c r="U1280" s="26"/>
      <c r="V1280" s="26"/>
      <c r="W1280" s="26"/>
      <c r="X1280" s="26"/>
      <c r="Y1280" s="26"/>
      <c r="Z1280" s="26"/>
      <c r="AA1280" s="26"/>
      <c r="AB1280" s="26"/>
      <c r="AC1280" s="26"/>
      <c r="AD1280" s="26"/>
      <c r="AE1280" s="26"/>
      <c r="AF1280" s="26"/>
      <c r="AG1280" s="26"/>
      <c r="AH1280" s="26"/>
      <c r="AI1280" s="26"/>
      <c r="AJ1280" s="26"/>
      <c r="AK1280" s="26"/>
      <c r="AL1280" s="26"/>
      <c r="AM1280" s="26"/>
      <c r="AN1280" s="26"/>
      <c r="AO1280" s="26"/>
      <c r="AP1280" s="26"/>
      <c r="AQ1280" s="26"/>
      <c r="AR1280" s="26"/>
      <c r="AS1280" s="26"/>
      <c r="AT1280" s="26"/>
      <c r="AU1280" s="26"/>
      <c r="AV1280" s="26"/>
      <c r="AW1280" s="26"/>
      <c r="AX1280" s="26"/>
      <c r="AY1280" s="26"/>
    </row>
    <row r="1281" spans="1:51" ht="12.75" customHeight="1">
      <c r="A1281" s="26"/>
      <c r="B1281" s="66"/>
      <c r="C1281" s="67"/>
      <c r="D1281" s="67"/>
      <c r="E1281" s="26"/>
      <c r="F1281" s="26"/>
      <c r="G1281" s="26"/>
      <c r="H1281" s="26"/>
      <c r="I1281" s="26"/>
      <c r="J1281" s="26"/>
      <c r="K1281" s="26"/>
      <c r="L1281" s="26"/>
      <c r="M1281" s="26"/>
      <c r="N1281" s="26"/>
      <c r="O1281" s="26"/>
      <c r="P1281" s="26"/>
      <c r="Q1281" s="26"/>
      <c r="R1281" s="26"/>
      <c r="S1281" s="26"/>
      <c r="T1281" s="26"/>
      <c r="U1281" s="26"/>
      <c r="V1281" s="26"/>
      <c r="W1281" s="26"/>
      <c r="X1281" s="26"/>
      <c r="Y1281" s="26"/>
      <c r="Z1281" s="26"/>
      <c r="AA1281" s="26"/>
      <c r="AB1281" s="26"/>
      <c r="AC1281" s="26"/>
      <c r="AD1281" s="26"/>
      <c r="AE1281" s="26"/>
      <c r="AF1281" s="26"/>
      <c r="AG1281" s="26"/>
      <c r="AH1281" s="26"/>
      <c r="AI1281" s="26"/>
      <c r="AJ1281" s="26"/>
      <c r="AK1281" s="26"/>
      <c r="AL1281" s="26"/>
      <c r="AM1281" s="26"/>
      <c r="AN1281" s="26"/>
      <c r="AO1281" s="26"/>
      <c r="AP1281" s="26"/>
      <c r="AQ1281" s="26"/>
      <c r="AR1281" s="26"/>
      <c r="AS1281" s="26"/>
      <c r="AT1281" s="26"/>
      <c r="AU1281" s="26"/>
      <c r="AV1281" s="26"/>
      <c r="AW1281" s="26"/>
      <c r="AX1281" s="26"/>
      <c r="AY1281" s="26"/>
    </row>
    <row r="1282" spans="1:51" ht="12.75" customHeight="1">
      <c r="A1282" s="26"/>
      <c r="B1282" s="66"/>
      <c r="C1282" s="67"/>
      <c r="D1282" s="67"/>
      <c r="E1282" s="26"/>
      <c r="F1282" s="26"/>
      <c r="G1282" s="26"/>
      <c r="H1282" s="26"/>
      <c r="I1282" s="26"/>
      <c r="J1282" s="26"/>
      <c r="K1282" s="26"/>
      <c r="L1282" s="26"/>
      <c r="M1282" s="26"/>
      <c r="N1282" s="26"/>
      <c r="O1282" s="26"/>
      <c r="P1282" s="26"/>
      <c r="Q1282" s="26"/>
      <c r="R1282" s="26"/>
      <c r="S1282" s="26"/>
      <c r="T1282" s="26"/>
      <c r="U1282" s="26"/>
      <c r="V1282" s="26"/>
      <c r="W1282" s="26"/>
      <c r="X1282" s="26"/>
      <c r="Y1282" s="26"/>
      <c r="Z1282" s="26"/>
      <c r="AA1282" s="26"/>
      <c r="AB1282" s="26"/>
      <c r="AC1282" s="26"/>
      <c r="AD1282" s="26"/>
      <c r="AE1282" s="26"/>
      <c r="AF1282" s="26"/>
      <c r="AG1282" s="26"/>
      <c r="AH1282" s="26"/>
      <c r="AI1282" s="26"/>
      <c r="AJ1282" s="26"/>
      <c r="AK1282" s="26"/>
      <c r="AL1282" s="26"/>
      <c r="AM1282" s="26"/>
      <c r="AN1282" s="26"/>
      <c r="AO1282" s="26"/>
      <c r="AP1282" s="26"/>
      <c r="AQ1282" s="26"/>
      <c r="AR1282" s="26"/>
      <c r="AS1282" s="26"/>
      <c r="AT1282" s="26"/>
      <c r="AU1282" s="26"/>
      <c r="AV1282" s="26"/>
      <c r="AW1282" s="26"/>
      <c r="AX1282" s="26"/>
      <c r="AY1282" s="26"/>
    </row>
    <row r="1283" spans="1:51" ht="12.75" customHeight="1">
      <c r="A1283" s="26"/>
      <c r="B1283" s="66"/>
      <c r="C1283" s="67"/>
      <c r="D1283" s="67"/>
      <c r="E1283" s="26"/>
      <c r="F1283" s="26"/>
      <c r="G1283" s="26"/>
      <c r="H1283" s="26"/>
      <c r="I1283" s="26"/>
      <c r="J1283" s="26"/>
      <c r="K1283" s="26"/>
      <c r="L1283" s="26"/>
      <c r="M1283" s="26"/>
      <c r="N1283" s="26"/>
      <c r="O1283" s="26"/>
      <c r="P1283" s="26"/>
      <c r="Q1283" s="26"/>
      <c r="R1283" s="26"/>
      <c r="S1283" s="26"/>
      <c r="T1283" s="26"/>
      <c r="U1283" s="26"/>
      <c r="V1283" s="26"/>
      <c r="W1283" s="26"/>
      <c r="X1283" s="26"/>
      <c r="Y1283" s="26"/>
      <c r="Z1283" s="26"/>
      <c r="AA1283" s="26"/>
      <c r="AB1283" s="26"/>
      <c r="AC1283" s="26"/>
      <c r="AD1283" s="26"/>
      <c r="AE1283" s="26"/>
      <c r="AF1283" s="26"/>
      <c r="AG1283" s="26"/>
      <c r="AH1283" s="26"/>
      <c r="AI1283" s="26"/>
      <c r="AJ1283" s="26"/>
      <c r="AK1283" s="26"/>
      <c r="AL1283" s="26"/>
      <c r="AM1283" s="26"/>
      <c r="AN1283" s="26"/>
      <c r="AO1283" s="26"/>
      <c r="AP1283" s="26"/>
      <c r="AQ1283" s="26"/>
      <c r="AR1283" s="26"/>
      <c r="AS1283" s="26"/>
      <c r="AT1283" s="26"/>
      <c r="AU1283" s="26"/>
      <c r="AV1283" s="26"/>
      <c r="AW1283" s="26"/>
      <c r="AX1283" s="26"/>
      <c r="AY1283" s="26"/>
    </row>
    <row r="1284" spans="1:51" ht="12.75" customHeight="1">
      <c r="A1284" s="26"/>
      <c r="B1284" s="66"/>
      <c r="C1284" s="67"/>
      <c r="D1284" s="67"/>
      <c r="E1284" s="26"/>
      <c r="F1284" s="26"/>
      <c r="G1284" s="26"/>
      <c r="H1284" s="26"/>
      <c r="I1284" s="26"/>
      <c r="J1284" s="26"/>
      <c r="K1284" s="26"/>
      <c r="L1284" s="26"/>
      <c r="M1284" s="26"/>
      <c r="N1284" s="26"/>
      <c r="O1284" s="26"/>
      <c r="P1284" s="26"/>
      <c r="Q1284" s="26"/>
      <c r="R1284" s="26"/>
      <c r="S1284" s="26"/>
      <c r="T1284" s="26"/>
      <c r="U1284" s="26"/>
      <c r="V1284" s="26"/>
      <c r="W1284" s="26"/>
      <c r="X1284" s="26"/>
      <c r="Y1284" s="26"/>
      <c r="Z1284" s="26"/>
      <c r="AA1284" s="26"/>
      <c r="AB1284" s="26"/>
      <c r="AC1284" s="26"/>
      <c r="AD1284" s="26"/>
      <c r="AE1284" s="26"/>
      <c r="AF1284" s="26"/>
      <c r="AG1284" s="26"/>
      <c r="AH1284" s="26"/>
      <c r="AI1284" s="26"/>
      <c r="AJ1284" s="26"/>
      <c r="AK1284" s="26"/>
      <c r="AL1284" s="26"/>
      <c r="AM1284" s="26"/>
      <c r="AN1284" s="26"/>
      <c r="AO1284" s="26"/>
      <c r="AP1284" s="26"/>
      <c r="AQ1284" s="26"/>
      <c r="AR1284" s="26"/>
      <c r="AS1284" s="26"/>
      <c r="AT1284" s="26"/>
      <c r="AU1284" s="26"/>
      <c r="AV1284" s="26"/>
      <c r="AW1284" s="26"/>
      <c r="AX1284" s="26"/>
      <c r="AY1284" s="26"/>
    </row>
    <row r="1285" spans="1:51" ht="12.75" customHeight="1">
      <c r="A1285" s="26"/>
      <c r="B1285" s="66"/>
      <c r="C1285" s="67"/>
      <c r="D1285" s="67"/>
      <c r="E1285" s="26"/>
      <c r="F1285" s="26"/>
      <c r="G1285" s="26"/>
      <c r="H1285" s="26"/>
      <c r="I1285" s="26"/>
      <c r="J1285" s="26"/>
      <c r="K1285" s="26"/>
      <c r="L1285" s="26"/>
      <c r="M1285" s="26"/>
      <c r="N1285" s="26"/>
      <c r="O1285" s="26"/>
      <c r="P1285" s="26"/>
      <c r="Q1285" s="26"/>
      <c r="R1285" s="26"/>
      <c r="S1285" s="26"/>
      <c r="T1285" s="26"/>
      <c r="U1285" s="26"/>
      <c r="V1285" s="26"/>
      <c r="W1285" s="26"/>
      <c r="X1285" s="26"/>
      <c r="Y1285" s="26"/>
      <c r="Z1285" s="26"/>
      <c r="AA1285" s="26"/>
      <c r="AB1285" s="26"/>
      <c r="AC1285" s="26"/>
      <c r="AD1285" s="26"/>
      <c r="AE1285" s="26"/>
      <c r="AF1285" s="26"/>
      <c r="AG1285" s="26"/>
      <c r="AH1285" s="26"/>
      <c r="AI1285" s="26"/>
      <c r="AJ1285" s="26"/>
      <c r="AK1285" s="26"/>
      <c r="AL1285" s="26"/>
      <c r="AM1285" s="26"/>
      <c r="AN1285" s="26"/>
      <c r="AO1285" s="26"/>
      <c r="AP1285" s="26"/>
      <c r="AQ1285" s="26"/>
      <c r="AR1285" s="26"/>
      <c r="AS1285" s="26"/>
      <c r="AT1285" s="26"/>
      <c r="AU1285" s="26"/>
      <c r="AV1285" s="26"/>
      <c r="AW1285" s="26"/>
      <c r="AX1285" s="26"/>
      <c r="AY1285" s="26"/>
    </row>
    <row r="1286" spans="1:51" ht="12.75" customHeight="1">
      <c r="A1286" s="26"/>
      <c r="B1286" s="66"/>
      <c r="C1286" s="67"/>
      <c r="D1286" s="67"/>
      <c r="E1286" s="26"/>
      <c r="F1286" s="26"/>
      <c r="G1286" s="26"/>
      <c r="H1286" s="26"/>
      <c r="I1286" s="26"/>
      <c r="J1286" s="26"/>
      <c r="K1286" s="26"/>
      <c r="L1286" s="26"/>
      <c r="M1286" s="26"/>
      <c r="N1286" s="26"/>
      <c r="O1286" s="26"/>
      <c r="P1286" s="26"/>
      <c r="Q1286" s="26"/>
      <c r="R1286" s="26"/>
      <c r="S1286" s="26"/>
      <c r="T1286" s="26"/>
      <c r="U1286" s="26"/>
      <c r="V1286" s="26"/>
      <c r="W1286" s="26"/>
      <c r="X1286" s="26"/>
      <c r="Y1286" s="26"/>
      <c r="Z1286" s="26"/>
      <c r="AA1286" s="26"/>
      <c r="AB1286" s="26"/>
      <c r="AC1286" s="26"/>
      <c r="AD1286" s="26"/>
      <c r="AE1286" s="26"/>
      <c r="AF1286" s="26"/>
      <c r="AG1286" s="26"/>
      <c r="AH1286" s="26"/>
      <c r="AI1286" s="26"/>
      <c r="AJ1286" s="26"/>
      <c r="AK1286" s="26"/>
      <c r="AL1286" s="26"/>
      <c r="AM1286" s="26"/>
      <c r="AN1286" s="26"/>
      <c r="AO1286" s="26"/>
      <c r="AP1286" s="26"/>
      <c r="AQ1286" s="26"/>
      <c r="AR1286" s="26"/>
      <c r="AS1286" s="26"/>
      <c r="AT1286" s="26"/>
      <c r="AU1286" s="26"/>
      <c r="AV1286" s="26"/>
      <c r="AW1286" s="26"/>
      <c r="AX1286" s="26"/>
      <c r="AY1286" s="26"/>
    </row>
    <row r="1287" spans="1:51" ht="12.75" customHeight="1">
      <c r="A1287" s="26"/>
      <c r="B1287" s="66"/>
      <c r="C1287" s="67"/>
      <c r="D1287" s="67"/>
      <c r="E1287" s="26"/>
      <c r="F1287" s="26"/>
      <c r="G1287" s="26"/>
      <c r="H1287" s="26"/>
      <c r="I1287" s="26"/>
      <c r="J1287" s="26"/>
      <c r="K1287" s="26"/>
      <c r="L1287" s="26"/>
      <c r="M1287" s="26"/>
      <c r="N1287" s="26"/>
      <c r="O1287" s="26"/>
      <c r="P1287" s="26"/>
      <c r="Q1287" s="26"/>
      <c r="R1287" s="26"/>
      <c r="S1287" s="26"/>
      <c r="T1287" s="26"/>
      <c r="U1287" s="26"/>
      <c r="V1287" s="26"/>
      <c r="W1287" s="26"/>
      <c r="X1287" s="26"/>
      <c r="Y1287" s="26"/>
      <c r="Z1287" s="26"/>
      <c r="AA1287" s="26"/>
      <c r="AB1287" s="26"/>
      <c r="AC1287" s="26"/>
      <c r="AD1287" s="26"/>
      <c r="AE1287" s="26"/>
      <c r="AF1287" s="26"/>
      <c r="AG1287" s="26"/>
      <c r="AH1287" s="26"/>
      <c r="AI1287" s="26"/>
      <c r="AJ1287" s="26"/>
      <c r="AK1287" s="26"/>
      <c r="AL1287" s="26"/>
      <c r="AM1287" s="26"/>
      <c r="AN1287" s="26"/>
      <c r="AO1287" s="26"/>
      <c r="AP1287" s="26"/>
      <c r="AQ1287" s="26"/>
      <c r="AR1287" s="26"/>
      <c r="AS1287" s="26"/>
      <c r="AT1287" s="26"/>
      <c r="AU1287" s="26"/>
      <c r="AV1287" s="26"/>
      <c r="AW1287" s="26"/>
      <c r="AX1287" s="26"/>
      <c r="AY1287" s="26"/>
    </row>
    <row r="1288" spans="1:51" ht="12.75" customHeight="1">
      <c r="A1288" s="26"/>
      <c r="B1288" s="66"/>
      <c r="C1288" s="67"/>
      <c r="D1288" s="67"/>
      <c r="E1288" s="26"/>
      <c r="F1288" s="26"/>
      <c r="G1288" s="26"/>
      <c r="H1288" s="26"/>
      <c r="I1288" s="26"/>
      <c r="J1288" s="26"/>
      <c r="K1288" s="26"/>
      <c r="L1288" s="26"/>
      <c r="M1288" s="26"/>
      <c r="N1288" s="26"/>
      <c r="O1288" s="26"/>
      <c r="P1288" s="26"/>
      <c r="Q1288" s="26"/>
      <c r="R1288" s="26"/>
      <c r="S1288" s="26"/>
      <c r="T1288" s="26"/>
      <c r="U1288" s="26"/>
      <c r="V1288" s="26"/>
      <c r="W1288" s="26"/>
      <c r="X1288" s="26"/>
      <c r="Y1288" s="26"/>
      <c r="Z1288" s="26"/>
      <c r="AA1288" s="26"/>
      <c r="AB1288" s="26"/>
      <c r="AC1288" s="26"/>
      <c r="AD1288" s="26"/>
      <c r="AE1288" s="26"/>
      <c r="AF1288" s="26"/>
      <c r="AG1288" s="26"/>
      <c r="AH1288" s="26"/>
      <c r="AI1288" s="26"/>
      <c r="AJ1288" s="26"/>
      <c r="AK1288" s="26"/>
      <c r="AL1288" s="26"/>
      <c r="AM1288" s="26"/>
      <c r="AN1288" s="26"/>
      <c r="AO1288" s="26"/>
      <c r="AP1288" s="26"/>
      <c r="AQ1288" s="26"/>
      <c r="AR1288" s="26"/>
      <c r="AS1288" s="26"/>
      <c r="AT1288" s="26"/>
      <c r="AU1288" s="26"/>
      <c r="AV1288" s="26"/>
      <c r="AW1288" s="26"/>
      <c r="AX1288" s="26"/>
      <c r="AY1288" s="26"/>
    </row>
    <row r="1289" spans="1:51" ht="12.75" customHeight="1">
      <c r="A1289" s="26"/>
      <c r="B1289" s="66"/>
      <c r="C1289" s="67"/>
      <c r="D1289" s="67"/>
      <c r="E1289" s="26"/>
      <c r="F1289" s="26"/>
      <c r="G1289" s="26"/>
      <c r="H1289" s="26"/>
      <c r="I1289" s="26"/>
      <c r="J1289" s="26"/>
      <c r="K1289" s="26"/>
      <c r="L1289" s="26"/>
      <c r="M1289" s="26"/>
      <c r="N1289" s="26"/>
      <c r="O1289" s="26"/>
      <c r="P1289" s="26"/>
      <c r="Q1289" s="26"/>
      <c r="R1289" s="26"/>
      <c r="S1289" s="26"/>
      <c r="T1289" s="26"/>
      <c r="U1289" s="26"/>
      <c r="V1289" s="26"/>
      <c r="W1289" s="26"/>
      <c r="X1289" s="26"/>
      <c r="Y1289" s="26"/>
      <c r="Z1289" s="26"/>
      <c r="AA1289" s="26"/>
      <c r="AB1289" s="26"/>
      <c r="AC1289" s="26"/>
      <c r="AD1289" s="26"/>
      <c r="AE1289" s="26"/>
      <c r="AF1289" s="26"/>
      <c r="AG1289" s="26"/>
      <c r="AH1289" s="26"/>
      <c r="AI1289" s="26"/>
      <c r="AJ1289" s="26"/>
      <c r="AK1289" s="26"/>
      <c r="AL1289" s="26"/>
      <c r="AM1289" s="26"/>
      <c r="AN1289" s="26"/>
      <c r="AO1289" s="26"/>
      <c r="AP1289" s="26"/>
      <c r="AQ1289" s="26"/>
      <c r="AR1289" s="26"/>
      <c r="AS1289" s="26"/>
      <c r="AT1289" s="26"/>
      <c r="AU1289" s="26"/>
      <c r="AV1289" s="26"/>
      <c r="AW1289" s="26"/>
      <c r="AX1289" s="26"/>
      <c r="AY1289" s="26"/>
    </row>
    <row r="1290" spans="1:51" ht="12.75" customHeight="1">
      <c r="A1290" s="26"/>
      <c r="B1290" s="66"/>
      <c r="C1290" s="67"/>
      <c r="D1290" s="67"/>
      <c r="E1290" s="26"/>
      <c r="F1290" s="26"/>
      <c r="G1290" s="26"/>
      <c r="H1290" s="26"/>
      <c r="I1290" s="26"/>
      <c r="J1290" s="26"/>
      <c r="K1290" s="26"/>
      <c r="L1290" s="26"/>
      <c r="M1290" s="26"/>
      <c r="N1290" s="26"/>
      <c r="O1290" s="26"/>
      <c r="P1290" s="26"/>
      <c r="Q1290" s="26"/>
      <c r="R1290" s="26"/>
      <c r="S1290" s="26"/>
      <c r="T1290" s="26"/>
      <c r="U1290" s="26"/>
      <c r="V1290" s="26"/>
      <c r="W1290" s="26"/>
      <c r="X1290" s="26"/>
      <c r="Y1290" s="26"/>
      <c r="Z1290" s="26"/>
      <c r="AA1290" s="26"/>
      <c r="AB1290" s="26"/>
      <c r="AC1290" s="26"/>
      <c r="AD1290" s="26"/>
      <c r="AE1290" s="26"/>
      <c r="AF1290" s="26"/>
      <c r="AG1290" s="26"/>
      <c r="AH1290" s="26"/>
      <c r="AI1290" s="26"/>
      <c r="AJ1290" s="26"/>
      <c r="AK1290" s="26"/>
      <c r="AL1290" s="26"/>
      <c r="AM1290" s="26"/>
      <c r="AN1290" s="26"/>
      <c r="AO1290" s="26"/>
      <c r="AP1290" s="26"/>
      <c r="AQ1290" s="26"/>
      <c r="AR1290" s="26"/>
      <c r="AS1290" s="26"/>
      <c r="AT1290" s="26"/>
      <c r="AU1290" s="26"/>
      <c r="AV1290" s="26"/>
      <c r="AW1290" s="26"/>
      <c r="AX1290" s="26"/>
      <c r="AY1290" s="26"/>
    </row>
    <row r="1291" spans="1:51" ht="12.75" customHeight="1">
      <c r="A1291" s="26"/>
      <c r="B1291" s="66"/>
      <c r="C1291" s="67"/>
      <c r="D1291" s="67"/>
      <c r="E1291" s="26"/>
      <c r="F1291" s="26"/>
      <c r="G1291" s="26"/>
      <c r="H1291" s="26"/>
      <c r="I1291" s="26"/>
      <c r="J1291" s="26"/>
      <c r="K1291" s="26"/>
      <c r="L1291" s="26"/>
      <c r="M1291" s="26"/>
      <c r="N1291" s="26"/>
      <c r="O1291" s="26"/>
      <c r="P1291" s="26"/>
      <c r="Q1291" s="26"/>
      <c r="R1291" s="26"/>
      <c r="S1291" s="26"/>
      <c r="T1291" s="26"/>
      <c r="U1291" s="26"/>
      <c r="V1291" s="26"/>
      <c r="W1291" s="26"/>
      <c r="X1291" s="26"/>
      <c r="Y1291" s="26"/>
      <c r="Z1291" s="26"/>
      <c r="AA1291" s="26"/>
      <c r="AB1291" s="26"/>
      <c r="AC1291" s="26"/>
      <c r="AD1291" s="26"/>
      <c r="AE1291" s="26"/>
      <c r="AF1291" s="26"/>
      <c r="AG1291" s="26"/>
      <c r="AH1291" s="26"/>
      <c r="AI1291" s="26"/>
      <c r="AJ1291" s="26"/>
      <c r="AK1291" s="26"/>
      <c r="AL1291" s="26"/>
      <c r="AM1291" s="26"/>
      <c r="AN1291" s="26"/>
      <c r="AO1291" s="26"/>
      <c r="AP1291" s="26"/>
      <c r="AQ1291" s="26"/>
      <c r="AR1291" s="26"/>
      <c r="AS1291" s="26"/>
      <c r="AT1291" s="26"/>
      <c r="AU1291" s="26"/>
      <c r="AV1291" s="26"/>
      <c r="AW1291" s="26"/>
      <c r="AX1291" s="26"/>
      <c r="AY1291" s="26"/>
    </row>
    <row r="1292" spans="1:51" ht="12.75" customHeight="1">
      <c r="A1292" s="26"/>
      <c r="B1292" s="66"/>
      <c r="C1292" s="67"/>
      <c r="D1292" s="67"/>
      <c r="E1292" s="26"/>
      <c r="F1292" s="26"/>
      <c r="G1292" s="26"/>
      <c r="H1292" s="26"/>
      <c r="I1292" s="26"/>
      <c r="J1292" s="26"/>
      <c r="K1292" s="26"/>
      <c r="L1292" s="26"/>
      <c r="M1292" s="26"/>
      <c r="N1292" s="26"/>
      <c r="O1292" s="26"/>
      <c r="P1292" s="26"/>
      <c r="Q1292" s="26"/>
      <c r="R1292" s="26"/>
      <c r="S1292" s="26"/>
      <c r="T1292" s="26"/>
      <c r="U1292" s="26"/>
      <c r="V1292" s="26"/>
      <c r="W1292" s="26"/>
      <c r="X1292" s="26"/>
      <c r="Y1292" s="26"/>
      <c r="Z1292" s="26"/>
      <c r="AA1292" s="26"/>
      <c r="AB1292" s="26"/>
      <c r="AC1292" s="26"/>
      <c r="AD1292" s="26"/>
      <c r="AE1292" s="26"/>
      <c r="AF1292" s="26"/>
      <c r="AG1292" s="26"/>
      <c r="AH1292" s="26"/>
      <c r="AI1292" s="26"/>
      <c r="AJ1292" s="26"/>
      <c r="AK1292" s="26"/>
      <c r="AL1292" s="26"/>
      <c r="AM1292" s="26"/>
      <c r="AN1292" s="26"/>
      <c r="AO1292" s="26"/>
      <c r="AP1292" s="26"/>
      <c r="AQ1292" s="26"/>
      <c r="AR1292" s="26"/>
      <c r="AS1292" s="26"/>
      <c r="AT1292" s="26"/>
      <c r="AU1292" s="26"/>
      <c r="AV1292" s="26"/>
      <c r="AW1292" s="26"/>
      <c r="AX1292" s="26"/>
      <c r="AY1292" s="26"/>
    </row>
    <row r="1293" spans="1:51" ht="12.75" customHeight="1">
      <c r="A1293" s="26"/>
      <c r="B1293" s="66"/>
      <c r="C1293" s="67"/>
      <c r="D1293" s="67"/>
      <c r="E1293" s="26"/>
      <c r="F1293" s="26"/>
      <c r="G1293" s="26"/>
      <c r="H1293" s="26"/>
      <c r="I1293" s="26"/>
      <c r="J1293" s="26"/>
      <c r="K1293" s="26"/>
      <c r="L1293" s="26"/>
      <c r="M1293" s="26"/>
      <c r="N1293" s="26"/>
      <c r="O1293" s="26"/>
      <c r="P1293" s="26"/>
      <c r="Q1293" s="26"/>
      <c r="R1293" s="26"/>
      <c r="S1293" s="26"/>
      <c r="T1293" s="26"/>
      <c r="U1293" s="26"/>
      <c r="V1293" s="26"/>
      <c r="W1293" s="26"/>
      <c r="X1293" s="26"/>
      <c r="Y1293" s="26"/>
      <c r="Z1293" s="26"/>
      <c r="AA1293" s="26"/>
      <c r="AB1293" s="26"/>
      <c r="AC1293" s="26"/>
      <c r="AD1293" s="26"/>
      <c r="AE1293" s="26"/>
      <c r="AF1293" s="26"/>
      <c r="AG1293" s="26"/>
      <c r="AH1293" s="26"/>
      <c r="AI1293" s="26"/>
      <c r="AJ1293" s="26"/>
      <c r="AK1293" s="26"/>
      <c r="AL1293" s="26"/>
      <c r="AM1293" s="26"/>
      <c r="AN1293" s="26"/>
      <c r="AO1293" s="26"/>
      <c r="AP1293" s="26"/>
      <c r="AQ1293" s="26"/>
      <c r="AR1293" s="26"/>
      <c r="AS1293" s="26"/>
      <c r="AT1293" s="26"/>
      <c r="AU1293" s="26"/>
      <c r="AV1293" s="26"/>
      <c r="AW1293" s="26"/>
      <c r="AX1293" s="26"/>
      <c r="AY1293" s="26"/>
    </row>
    <row r="1294" spans="1:51" ht="12.75" customHeight="1">
      <c r="A1294" s="26"/>
      <c r="B1294" s="66"/>
      <c r="C1294" s="67"/>
      <c r="D1294" s="67"/>
      <c r="E1294" s="26"/>
      <c r="F1294" s="26"/>
      <c r="G1294" s="26"/>
      <c r="H1294" s="26"/>
      <c r="I1294" s="26"/>
      <c r="J1294" s="26"/>
      <c r="K1294" s="26"/>
      <c r="L1294" s="26"/>
      <c r="M1294" s="26"/>
      <c r="N1294" s="26"/>
      <c r="O1294" s="26"/>
      <c r="P1294" s="26"/>
      <c r="Q1294" s="26"/>
      <c r="R1294" s="26"/>
      <c r="S1294" s="26"/>
      <c r="T1294" s="26"/>
      <c r="U1294" s="26"/>
      <c r="V1294" s="26"/>
      <c r="W1294" s="26"/>
      <c r="X1294" s="26"/>
      <c r="Y1294" s="26"/>
      <c r="Z1294" s="26"/>
      <c r="AA1294" s="26"/>
      <c r="AB1294" s="26"/>
      <c r="AC1294" s="26"/>
      <c r="AD1294" s="26"/>
      <c r="AE1294" s="26"/>
      <c r="AF1294" s="26"/>
      <c r="AG1294" s="26"/>
      <c r="AH1294" s="26"/>
      <c r="AI1294" s="26"/>
      <c r="AJ1294" s="26"/>
      <c r="AK1294" s="26"/>
      <c r="AL1294" s="26"/>
      <c r="AM1294" s="26"/>
      <c r="AN1294" s="26"/>
      <c r="AO1294" s="26"/>
      <c r="AP1294" s="26"/>
      <c r="AQ1294" s="26"/>
      <c r="AR1294" s="26"/>
      <c r="AS1294" s="26"/>
      <c r="AT1294" s="26"/>
      <c r="AU1294" s="26"/>
      <c r="AV1294" s="26"/>
      <c r="AW1294" s="26"/>
      <c r="AX1294" s="26"/>
      <c r="AY1294" s="26"/>
    </row>
    <row r="1295" spans="1:51" ht="12.75" customHeight="1">
      <c r="A1295" s="26"/>
      <c r="B1295" s="66"/>
      <c r="C1295" s="67"/>
      <c r="D1295" s="67"/>
      <c r="E1295" s="26"/>
      <c r="F1295" s="26"/>
      <c r="G1295" s="26"/>
      <c r="H1295" s="26"/>
      <c r="I1295" s="26"/>
      <c r="J1295" s="26"/>
      <c r="K1295" s="26"/>
      <c r="L1295" s="26"/>
      <c r="M1295" s="26"/>
      <c r="N1295" s="26"/>
      <c r="O1295" s="26"/>
      <c r="P1295" s="26"/>
      <c r="Q1295" s="26"/>
      <c r="R1295" s="26"/>
      <c r="S1295" s="26"/>
      <c r="T1295" s="26"/>
      <c r="U1295" s="26"/>
      <c r="V1295" s="26"/>
      <c r="W1295" s="26"/>
      <c r="X1295" s="26"/>
      <c r="Y1295" s="26"/>
      <c r="Z1295" s="26"/>
      <c r="AA1295" s="26"/>
      <c r="AB1295" s="26"/>
      <c r="AC1295" s="26"/>
      <c r="AD1295" s="26"/>
      <c r="AE1295" s="26"/>
      <c r="AF1295" s="26"/>
      <c r="AG1295" s="26"/>
      <c r="AH1295" s="26"/>
      <c r="AI1295" s="26"/>
      <c r="AJ1295" s="26"/>
      <c r="AK1295" s="26"/>
      <c r="AL1295" s="26"/>
      <c r="AM1295" s="26"/>
      <c r="AN1295" s="26"/>
      <c r="AO1295" s="26"/>
      <c r="AP1295" s="26"/>
      <c r="AQ1295" s="26"/>
      <c r="AR1295" s="26"/>
      <c r="AS1295" s="26"/>
      <c r="AT1295" s="26"/>
      <c r="AU1295" s="26"/>
      <c r="AV1295" s="26"/>
      <c r="AW1295" s="26"/>
      <c r="AX1295" s="26"/>
      <c r="AY1295" s="26"/>
    </row>
    <row r="1296" spans="1:51" ht="12.75" customHeight="1">
      <c r="A1296" s="26"/>
      <c r="B1296" s="66"/>
      <c r="C1296" s="67"/>
      <c r="D1296" s="67"/>
      <c r="E1296" s="26"/>
      <c r="F1296" s="26"/>
      <c r="G1296" s="26"/>
      <c r="H1296" s="26"/>
      <c r="I1296" s="26"/>
      <c r="J1296" s="26"/>
      <c r="K1296" s="26"/>
      <c r="L1296" s="26"/>
      <c r="M1296" s="26"/>
      <c r="N1296" s="26"/>
      <c r="O1296" s="26"/>
      <c r="P1296" s="26"/>
      <c r="Q1296" s="26"/>
      <c r="R1296" s="26"/>
      <c r="S1296" s="26"/>
      <c r="T1296" s="26"/>
      <c r="U1296" s="26"/>
      <c r="V1296" s="26"/>
      <c r="W1296" s="26"/>
      <c r="X1296" s="26"/>
      <c r="Y1296" s="26"/>
      <c r="Z1296" s="26"/>
      <c r="AA1296" s="26"/>
      <c r="AB1296" s="26"/>
      <c r="AC1296" s="26"/>
      <c r="AD1296" s="26"/>
      <c r="AE1296" s="26"/>
      <c r="AF1296" s="26"/>
      <c r="AG1296" s="26"/>
      <c r="AH1296" s="26"/>
      <c r="AI1296" s="26"/>
      <c r="AJ1296" s="26"/>
      <c r="AK1296" s="26"/>
      <c r="AL1296" s="26"/>
      <c r="AM1296" s="26"/>
      <c r="AN1296" s="26"/>
      <c r="AO1296" s="26"/>
      <c r="AP1296" s="26"/>
      <c r="AQ1296" s="26"/>
      <c r="AR1296" s="26"/>
      <c r="AS1296" s="26"/>
      <c r="AT1296" s="26"/>
      <c r="AU1296" s="26"/>
      <c r="AV1296" s="26"/>
      <c r="AW1296" s="26"/>
      <c r="AX1296" s="26"/>
      <c r="AY1296" s="26"/>
    </row>
    <row r="1297" spans="1:51" ht="12.75" customHeight="1">
      <c r="A1297" s="26"/>
      <c r="B1297" s="66"/>
      <c r="C1297" s="67"/>
      <c r="D1297" s="67"/>
      <c r="E1297" s="26"/>
      <c r="F1297" s="26"/>
      <c r="G1297" s="26"/>
      <c r="H1297" s="26"/>
      <c r="I1297" s="26"/>
      <c r="J1297" s="26"/>
      <c r="K1297" s="26"/>
      <c r="L1297" s="26"/>
      <c r="M1297" s="26"/>
      <c r="N1297" s="26"/>
      <c r="O1297" s="26"/>
      <c r="P1297" s="26"/>
      <c r="Q1297" s="26"/>
      <c r="R1297" s="26"/>
      <c r="S1297" s="26"/>
      <c r="T1297" s="26"/>
      <c r="U1297" s="26"/>
      <c r="V1297" s="26"/>
      <c r="W1297" s="26"/>
      <c r="X1297" s="26"/>
      <c r="Y1297" s="26"/>
      <c r="Z1297" s="26"/>
      <c r="AA1297" s="26"/>
      <c r="AB1297" s="26"/>
      <c r="AC1297" s="26"/>
      <c r="AD1297" s="26"/>
      <c r="AE1297" s="26"/>
      <c r="AF1297" s="26"/>
      <c r="AG1297" s="26"/>
      <c r="AH1297" s="26"/>
      <c r="AI1297" s="26"/>
      <c r="AJ1297" s="26"/>
      <c r="AK1297" s="26"/>
      <c r="AL1297" s="26"/>
      <c r="AM1297" s="26"/>
      <c r="AN1297" s="26"/>
      <c r="AO1297" s="26"/>
      <c r="AP1297" s="26"/>
      <c r="AQ1297" s="26"/>
      <c r="AR1297" s="26"/>
      <c r="AS1297" s="26"/>
      <c r="AT1297" s="26"/>
      <c r="AU1297" s="26"/>
      <c r="AV1297" s="26"/>
      <c r="AW1297" s="26"/>
      <c r="AX1297" s="26"/>
      <c r="AY1297" s="26"/>
    </row>
    <row r="1298" spans="1:51" ht="12.75" customHeight="1">
      <c r="A1298" s="26"/>
      <c r="B1298" s="66"/>
      <c r="C1298" s="67"/>
      <c r="D1298" s="67"/>
      <c r="E1298" s="26"/>
      <c r="F1298" s="26"/>
      <c r="G1298" s="26"/>
      <c r="H1298" s="26"/>
      <c r="I1298" s="26"/>
      <c r="J1298" s="26"/>
      <c r="K1298" s="26"/>
      <c r="L1298" s="26"/>
      <c r="M1298" s="26"/>
      <c r="N1298" s="26"/>
      <c r="O1298" s="26"/>
      <c r="P1298" s="26"/>
      <c r="Q1298" s="26"/>
      <c r="R1298" s="26"/>
      <c r="S1298" s="26"/>
      <c r="T1298" s="26"/>
      <c r="U1298" s="26"/>
      <c r="V1298" s="26"/>
      <c r="W1298" s="26"/>
      <c r="X1298" s="26"/>
      <c r="Y1298" s="26"/>
      <c r="Z1298" s="26"/>
      <c r="AA1298" s="26"/>
      <c r="AB1298" s="26"/>
      <c r="AC1298" s="26"/>
      <c r="AD1298" s="26"/>
      <c r="AE1298" s="26"/>
      <c r="AF1298" s="26"/>
      <c r="AG1298" s="26"/>
      <c r="AH1298" s="26"/>
      <c r="AI1298" s="26"/>
      <c r="AJ1298" s="26"/>
      <c r="AK1298" s="26"/>
      <c r="AL1298" s="26"/>
      <c r="AM1298" s="26"/>
      <c r="AN1298" s="26"/>
      <c r="AO1298" s="26"/>
      <c r="AP1298" s="26"/>
      <c r="AQ1298" s="26"/>
      <c r="AR1298" s="26"/>
      <c r="AS1298" s="26"/>
      <c r="AT1298" s="26"/>
      <c r="AU1298" s="26"/>
      <c r="AV1298" s="26"/>
      <c r="AW1298" s="26"/>
      <c r="AX1298" s="26"/>
      <c r="AY1298" s="26"/>
    </row>
    <row r="1299" spans="1:51" ht="12.75" customHeight="1">
      <c r="A1299" s="26"/>
      <c r="B1299" s="66"/>
      <c r="C1299" s="67"/>
      <c r="D1299" s="67"/>
      <c r="E1299" s="26"/>
      <c r="F1299" s="26"/>
      <c r="G1299" s="26"/>
      <c r="H1299" s="26"/>
      <c r="I1299" s="26"/>
      <c r="J1299" s="26"/>
      <c r="K1299" s="26"/>
      <c r="L1299" s="26"/>
      <c r="M1299" s="26"/>
      <c r="N1299" s="26"/>
      <c r="O1299" s="26"/>
      <c r="P1299" s="26"/>
      <c r="Q1299" s="26"/>
      <c r="R1299" s="26"/>
      <c r="S1299" s="26"/>
      <c r="T1299" s="26"/>
      <c r="U1299" s="26"/>
      <c r="V1299" s="26"/>
      <c r="W1299" s="26"/>
      <c r="X1299" s="26"/>
      <c r="Y1299" s="26"/>
      <c r="Z1299" s="26"/>
      <c r="AA1299" s="26"/>
      <c r="AB1299" s="26"/>
      <c r="AC1299" s="26"/>
      <c r="AD1299" s="26"/>
      <c r="AE1299" s="26"/>
      <c r="AF1299" s="26"/>
      <c r="AG1299" s="26"/>
      <c r="AH1299" s="26"/>
      <c r="AI1299" s="26"/>
      <c r="AJ1299" s="26"/>
      <c r="AK1299" s="26"/>
      <c r="AL1299" s="26"/>
      <c r="AM1299" s="26"/>
      <c r="AN1299" s="26"/>
      <c r="AO1299" s="26"/>
      <c r="AP1299" s="26"/>
      <c r="AQ1299" s="26"/>
      <c r="AR1299" s="26"/>
      <c r="AS1299" s="26"/>
      <c r="AT1299" s="26"/>
      <c r="AU1299" s="26"/>
      <c r="AV1299" s="26"/>
      <c r="AW1299" s="26"/>
      <c r="AX1299" s="26"/>
      <c r="AY1299" s="26"/>
    </row>
    <row r="1300" spans="1:51" ht="12.75" customHeight="1">
      <c r="A1300" s="26"/>
      <c r="B1300" s="66"/>
      <c r="C1300" s="67"/>
      <c r="D1300" s="67"/>
      <c r="E1300" s="26"/>
      <c r="F1300" s="26"/>
      <c r="G1300" s="26"/>
      <c r="H1300" s="26"/>
      <c r="I1300" s="26"/>
      <c r="J1300" s="26"/>
      <c r="K1300" s="26"/>
      <c r="L1300" s="26"/>
      <c r="M1300" s="26"/>
      <c r="N1300" s="26"/>
      <c r="O1300" s="26"/>
      <c r="P1300" s="26"/>
      <c r="Q1300" s="26"/>
      <c r="R1300" s="26"/>
      <c r="S1300" s="26"/>
      <c r="T1300" s="26"/>
      <c r="U1300" s="26"/>
      <c r="V1300" s="26"/>
      <c r="W1300" s="26"/>
      <c r="X1300" s="26"/>
      <c r="Y1300" s="26"/>
      <c r="Z1300" s="26"/>
      <c r="AA1300" s="26"/>
      <c r="AB1300" s="26"/>
      <c r="AC1300" s="26"/>
      <c r="AD1300" s="26"/>
      <c r="AE1300" s="26"/>
      <c r="AF1300" s="26"/>
      <c r="AG1300" s="26"/>
      <c r="AH1300" s="26"/>
      <c r="AI1300" s="26"/>
      <c r="AJ1300" s="26"/>
      <c r="AK1300" s="26"/>
      <c r="AL1300" s="26"/>
      <c r="AM1300" s="26"/>
      <c r="AN1300" s="26"/>
      <c r="AO1300" s="26"/>
      <c r="AP1300" s="26"/>
      <c r="AQ1300" s="26"/>
      <c r="AR1300" s="26"/>
      <c r="AS1300" s="26"/>
      <c r="AT1300" s="26"/>
      <c r="AU1300" s="26"/>
      <c r="AV1300" s="26"/>
      <c r="AW1300" s="26"/>
      <c r="AX1300" s="26"/>
      <c r="AY1300" s="26"/>
    </row>
    <row r="1301" spans="1:51" ht="12.75" customHeight="1">
      <c r="A1301" s="26"/>
      <c r="B1301" s="66"/>
      <c r="C1301" s="67"/>
      <c r="D1301" s="67"/>
      <c r="E1301" s="26"/>
      <c r="F1301" s="26"/>
      <c r="G1301" s="26"/>
      <c r="H1301" s="26"/>
      <c r="I1301" s="26"/>
      <c r="J1301" s="26"/>
      <c r="K1301" s="26"/>
      <c r="L1301" s="26"/>
      <c r="M1301" s="26"/>
      <c r="N1301" s="26"/>
      <c r="O1301" s="26"/>
      <c r="P1301" s="26"/>
      <c r="Q1301" s="26"/>
      <c r="R1301" s="26"/>
      <c r="S1301" s="26"/>
      <c r="T1301" s="26"/>
      <c r="U1301" s="26"/>
      <c r="V1301" s="26"/>
      <c r="W1301" s="26"/>
      <c r="X1301" s="26"/>
      <c r="Y1301" s="26"/>
      <c r="Z1301" s="26"/>
      <c r="AA1301" s="26"/>
      <c r="AB1301" s="26"/>
      <c r="AC1301" s="26"/>
      <c r="AD1301" s="26"/>
      <c r="AE1301" s="26"/>
      <c r="AF1301" s="26"/>
      <c r="AG1301" s="26"/>
      <c r="AH1301" s="26"/>
      <c r="AI1301" s="26"/>
      <c r="AJ1301" s="26"/>
      <c r="AK1301" s="26"/>
      <c r="AL1301" s="26"/>
      <c r="AM1301" s="26"/>
      <c r="AN1301" s="26"/>
      <c r="AO1301" s="26"/>
      <c r="AP1301" s="26"/>
      <c r="AQ1301" s="26"/>
      <c r="AR1301" s="26"/>
      <c r="AS1301" s="26"/>
      <c r="AT1301" s="26"/>
      <c r="AU1301" s="26"/>
      <c r="AV1301" s="26"/>
      <c r="AW1301" s="26"/>
      <c r="AX1301" s="26"/>
      <c r="AY1301" s="26"/>
    </row>
    <row r="1302" spans="1:51" ht="12.75" customHeight="1">
      <c r="A1302" s="26"/>
      <c r="B1302" s="66"/>
      <c r="C1302" s="67"/>
      <c r="D1302" s="67"/>
      <c r="E1302" s="26"/>
      <c r="F1302" s="26"/>
      <c r="G1302" s="26"/>
      <c r="H1302" s="26"/>
      <c r="I1302" s="26"/>
      <c r="J1302" s="26"/>
      <c r="K1302" s="26"/>
      <c r="L1302" s="26"/>
      <c r="M1302" s="26"/>
      <c r="N1302" s="26"/>
      <c r="O1302" s="26"/>
      <c r="P1302" s="26"/>
      <c r="Q1302" s="26"/>
      <c r="R1302" s="26"/>
      <c r="S1302" s="26"/>
      <c r="T1302" s="26"/>
      <c r="U1302" s="26"/>
      <c r="V1302" s="26"/>
      <c r="W1302" s="26"/>
      <c r="X1302" s="26"/>
      <c r="Y1302" s="26"/>
      <c r="Z1302" s="26"/>
      <c r="AA1302" s="26"/>
      <c r="AB1302" s="26"/>
      <c r="AC1302" s="26"/>
      <c r="AD1302" s="26"/>
      <c r="AE1302" s="26"/>
      <c r="AF1302" s="26"/>
      <c r="AG1302" s="26"/>
      <c r="AH1302" s="26"/>
      <c r="AI1302" s="26"/>
      <c r="AJ1302" s="26"/>
      <c r="AK1302" s="26"/>
      <c r="AL1302" s="26"/>
      <c r="AM1302" s="26"/>
      <c r="AN1302" s="26"/>
      <c r="AO1302" s="26"/>
      <c r="AP1302" s="26"/>
      <c r="AQ1302" s="26"/>
      <c r="AR1302" s="26"/>
      <c r="AS1302" s="26"/>
      <c r="AT1302" s="26"/>
      <c r="AU1302" s="26"/>
      <c r="AV1302" s="26"/>
      <c r="AW1302" s="26"/>
      <c r="AX1302" s="26"/>
      <c r="AY1302" s="26"/>
    </row>
    <row r="1303" spans="1:51" ht="12.75" customHeight="1">
      <c r="A1303" s="26"/>
      <c r="B1303" s="66"/>
      <c r="C1303" s="67"/>
      <c r="D1303" s="67"/>
      <c r="E1303" s="26"/>
      <c r="F1303" s="26"/>
      <c r="G1303" s="26"/>
      <c r="H1303" s="26"/>
      <c r="I1303" s="26"/>
      <c r="J1303" s="26"/>
      <c r="K1303" s="26"/>
      <c r="L1303" s="26"/>
      <c r="M1303" s="26"/>
      <c r="N1303" s="26"/>
      <c r="O1303" s="26"/>
      <c r="P1303" s="26"/>
      <c r="Q1303" s="26"/>
      <c r="R1303" s="26"/>
      <c r="S1303" s="26"/>
      <c r="T1303" s="26"/>
      <c r="U1303" s="26"/>
      <c r="V1303" s="26"/>
      <c r="W1303" s="26"/>
      <c r="X1303" s="26"/>
      <c r="Y1303" s="26"/>
      <c r="Z1303" s="26"/>
      <c r="AA1303" s="26"/>
      <c r="AB1303" s="26"/>
      <c r="AC1303" s="26"/>
      <c r="AD1303" s="26"/>
      <c r="AE1303" s="26"/>
      <c r="AF1303" s="26"/>
      <c r="AG1303" s="26"/>
      <c r="AH1303" s="26"/>
      <c r="AI1303" s="26"/>
      <c r="AJ1303" s="26"/>
      <c r="AK1303" s="26"/>
      <c r="AL1303" s="26"/>
      <c r="AM1303" s="26"/>
      <c r="AN1303" s="26"/>
      <c r="AO1303" s="26"/>
      <c r="AP1303" s="26"/>
      <c r="AQ1303" s="26"/>
      <c r="AR1303" s="26"/>
      <c r="AS1303" s="26"/>
      <c r="AT1303" s="26"/>
      <c r="AU1303" s="26"/>
      <c r="AV1303" s="26"/>
      <c r="AW1303" s="26"/>
      <c r="AX1303" s="26"/>
      <c r="AY1303" s="26"/>
    </row>
    <row r="1304" spans="1:51" ht="12.75" customHeight="1">
      <c r="A1304" s="26"/>
      <c r="B1304" s="66"/>
      <c r="C1304" s="67"/>
      <c r="D1304" s="67"/>
      <c r="E1304" s="26"/>
      <c r="F1304" s="26"/>
      <c r="G1304" s="26"/>
      <c r="H1304" s="26"/>
      <c r="I1304" s="26"/>
      <c r="J1304" s="26"/>
      <c r="K1304" s="26"/>
      <c r="L1304" s="26"/>
      <c r="M1304" s="26"/>
      <c r="N1304" s="26"/>
      <c r="O1304" s="26"/>
      <c r="P1304" s="26"/>
      <c r="Q1304" s="26"/>
      <c r="R1304" s="26"/>
      <c r="S1304" s="26"/>
      <c r="T1304" s="26"/>
      <c r="U1304" s="26"/>
      <c r="V1304" s="26"/>
      <c r="W1304" s="26"/>
      <c r="X1304" s="26"/>
      <c r="Y1304" s="26"/>
      <c r="Z1304" s="26"/>
      <c r="AA1304" s="26"/>
      <c r="AB1304" s="26"/>
      <c r="AC1304" s="26"/>
      <c r="AD1304" s="26"/>
      <c r="AE1304" s="26"/>
      <c r="AF1304" s="26"/>
      <c r="AG1304" s="26"/>
      <c r="AH1304" s="26"/>
      <c r="AI1304" s="26"/>
      <c r="AJ1304" s="26"/>
      <c r="AK1304" s="26"/>
      <c r="AL1304" s="26"/>
      <c r="AM1304" s="26"/>
      <c r="AN1304" s="26"/>
      <c r="AO1304" s="26"/>
      <c r="AP1304" s="26"/>
      <c r="AQ1304" s="26"/>
      <c r="AR1304" s="26"/>
      <c r="AS1304" s="26"/>
      <c r="AT1304" s="26"/>
      <c r="AU1304" s="26"/>
      <c r="AV1304" s="26"/>
      <c r="AW1304" s="26"/>
      <c r="AX1304" s="26"/>
      <c r="AY1304" s="26"/>
    </row>
    <row r="1305" spans="1:51" ht="12.75" customHeight="1">
      <c r="A1305" s="26"/>
      <c r="B1305" s="66"/>
      <c r="C1305" s="67"/>
      <c r="D1305" s="67"/>
      <c r="E1305" s="26"/>
      <c r="F1305" s="26"/>
      <c r="G1305" s="26"/>
      <c r="H1305" s="26"/>
      <c r="I1305" s="26"/>
      <c r="J1305" s="26"/>
      <c r="K1305" s="26"/>
      <c r="L1305" s="26"/>
      <c r="M1305" s="26"/>
      <c r="N1305" s="26"/>
      <c r="O1305" s="26"/>
      <c r="P1305" s="26"/>
      <c r="Q1305" s="26"/>
      <c r="R1305" s="26"/>
      <c r="S1305" s="26"/>
      <c r="T1305" s="26"/>
      <c r="U1305" s="26"/>
      <c r="V1305" s="26"/>
      <c r="W1305" s="26"/>
      <c r="X1305" s="26"/>
      <c r="Y1305" s="26"/>
      <c r="Z1305" s="26"/>
      <c r="AA1305" s="26"/>
      <c r="AB1305" s="26"/>
      <c r="AC1305" s="26"/>
      <c r="AD1305" s="26"/>
      <c r="AE1305" s="26"/>
      <c r="AF1305" s="26"/>
      <c r="AG1305" s="26"/>
      <c r="AH1305" s="26"/>
      <c r="AI1305" s="26"/>
      <c r="AJ1305" s="26"/>
      <c r="AK1305" s="26"/>
      <c r="AL1305" s="26"/>
      <c r="AM1305" s="26"/>
      <c r="AN1305" s="26"/>
      <c r="AO1305" s="26"/>
      <c r="AP1305" s="26"/>
      <c r="AQ1305" s="26"/>
      <c r="AR1305" s="26"/>
      <c r="AS1305" s="26"/>
      <c r="AT1305" s="26"/>
      <c r="AU1305" s="26"/>
      <c r="AV1305" s="26"/>
      <c r="AW1305" s="26"/>
      <c r="AX1305" s="26"/>
      <c r="AY1305" s="26"/>
    </row>
    <row r="1306" spans="1:51" ht="12.75" customHeight="1">
      <c r="A1306" s="26"/>
      <c r="B1306" s="66"/>
      <c r="C1306" s="67"/>
      <c r="D1306" s="67"/>
      <c r="E1306" s="26"/>
      <c r="F1306" s="26"/>
      <c r="G1306" s="26"/>
      <c r="H1306" s="26"/>
      <c r="I1306" s="26"/>
      <c r="J1306" s="26"/>
      <c r="K1306" s="26"/>
      <c r="L1306" s="26"/>
      <c r="M1306" s="26"/>
      <c r="N1306" s="26"/>
      <c r="O1306" s="26"/>
      <c r="P1306" s="26"/>
      <c r="Q1306" s="26"/>
      <c r="R1306" s="26"/>
      <c r="S1306" s="26"/>
      <c r="T1306" s="26"/>
      <c r="U1306" s="26"/>
      <c r="V1306" s="26"/>
      <c r="W1306" s="26"/>
      <c r="X1306" s="26"/>
      <c r="Y1306" s="26"/>
      <c r="Z1306" s="26"/>
      <c r="AA1306" s="26"/>
      <c r="AB1306" s="26"/>
      <c r="AC1306" s="26"/>
      <c r="AD1306" s="26"/>
      <c r="AE1306" s="26"/>
      <c r="AF1306" s="26"/>
      <c r="AG1306" s="26"/>
      <c r="AH1306" s="26"/>
      <c r="AI1306" s="26"/>
      <c r="AJ1306" s="26"/>
      <c r="AK1306" s="26"/>
      <c r="AL1306" s="26"/>
      <c r="AM1306" s="26"/>
      <c r="AN1306" s="26"/>
      <c r="AO1306" s="26"/>
      <c r="AP1306" s="26"/>
      <c r="AQ1306" s="26"/>
      <c r="AR1306" s="26"/>
      <c r="AS1306" s="26"/>
      <c r="AT1306" s="26"/>
      <c r="AU1306" s="26"/>
      <c r="AV1306" s="26"/>
      <c r="AW1306" s="26"/>
      <c r="AX1306" s="26"/>
      <c r="AY1306" s="26"/>
    </row>
    <row r="1307" spans="1:51" ht="12.75" customHeight="1">
      <c r="A1307" s="26"/>
      <c r="B1307" s="66"/>
      <c r="C1307" s="67"/>
      <c r="D1307" s="67"/>
      <c r="E1307" s="26"/>
      <c r="F1307" s="26"/>
      <c r="G1307" s="26"/>
      <c r="H1307" s="26"/>
      <c r="I1307" s="26"/>
      <c r="J1307" s="26"/>
      <c r="K1307" s="26"/>
      <c r="L1307" s="26"/>
      <c r="M1307" s="26"/>
      <c r="N1307" s="26"/>
      <c r="O1307" s="26"/>
      <c r="P1307" s="26"/>
      <c r="Q1307" s="26"/>
      <c r="R1307" s="26"/>
      <c r="S1307" s="26"/>
      <c r="T1307" s="26"/>
      <c r="U1307" s="26"/>
      <c r="V1307" s="26"/>
      <c r="W1307" s="26"/>
      <c r="X1307" s="26"/>
      <c r="Y1307" s="26"/>
      <c r="Z1307" s="26"/>
      <c r="AA1307" s="26"/>
      <c r="AB1307" s="26"/>
      <c r="AC1307" s="26"/>
      <c r="AD1307" s="26"/>
      <c r="AE1307" s="26"/>
      <c r="AF1307" s="26"/>
      <c r="AG1307" s="26"/>
      <c r="AH1307" s="26"/>
      <c r="AI1307" s="26"/>
      <c r="AJ1307" s="26"/>
      <c r="AK1307" s="26"/>
      <c r="AL1307" s="26"/>
      <c r="AM1307" s="26"/>
      <c r="AN1307" s="26"/>
      <c r="AO1307" s="26"/>
      <c r="AP1307" s="26"/>
      <c r="AQ1307" s="26"/>
      <c r="AR1307" s="26"/>
      <c r="AS1307" s="26"/>
      <c r="AT1307" s="26"/>
      <c r="AU1307" s="26"/>
      <c r="AV1307" s="26"/>
      <c r="AW1307" s="26"/>
      <c r="AX1307" s="26"/>
      <c r="AY1307" s="26"/>
    </row>
    <row r="1308" spans="1:51" ht="12.75" customHeight="1">
      <c r="A1308" s="26"/>
      <c r="B1308" s="66"/>
      <c r="C1308" s="67"/>
      <c r="D1308" s="67"/>
      <c r="E1308" s="26"/>
      <c r="F1308" s="26"/>
      <c r="G1308" s="26"/>
      <c r="H1308" s="26"/>
      <c r="I1308" s="26"/>
      <c r="J1308" s="26"/>
      <c r="K1308" s="26"/>
      <c r="L1308" s="26"/>
      <c r="M1308" s="26"/>
      <c r="N1308" s="26"/>
      <c r="O1308" s="26"/>
      <c r="P1308" s="26"/>
      <c r="Q1308" s="26"/>
      <c r="R1308" s="26"/>
      <c r="S1308" s="26"/>
      <c r="T1308" s="26"/>
      <c r="U1308" s="26"/>
      <c r="V1308" s="26"/>
      <c r="W1308" s="26"/>
      <c r="X1308" s="26"/>
      <c r="Y1308" s="26"/>
      <c r="Z1308" s="26"/>
      <c r="AA1308" s="26"/>
      <c r="AB1308" s="26"/>
      <c r="AC1308" s="26"/>
      <c r="AD1308" s="26"/>
      <c r="AE1308" s="26"/>
      <c r="AF1308" s="26"/>
      <c r="AG1308" s="26"/>
      <c r="AH1308" s="26"/>
      <c r="AI1308" s="26"/>
      <c r="AJ1308" s="26"/>
      <c r="AK1308" s="26"/>
      <c r="AL1308" s="26"/>
      <c r="AM1308" s="26"/>
      <c r="AN1308" s="26"/>
      <c r="AO1308" s="26"/>
      <c r="AP1308" s="26"/>
      <c r="AQ1308" s="26"/>
      <c r="AR1308" s="26"/>
      <c r="AS1308" s="26"/>
      <c r="AT1308" s="26"/>
      <c r="AU1308" s="26"/>
      <c r="AV1308" s="26"/>
      <c r="AW1308" s="26"/>
      <c r="AX1308" s="26"/>
      <c r="AY1308" s="26"/>
    </row>
    <row r="1309" spans="1:51" ht="12.75" customHeight="1">
      <c r="A1309" s="26"/>
      <c r="B1309" s="66"/>
      <c r="C1309" s="67"/>
      <c r="D1309" s="67"/>
      <c r="E1309" s="26"/>
      <c r="F1309" s="26"/>
      <c r="G1309" s="26"/>
      <c r="H1309" s="26"/>
      <c r="I1309" s="26"/>
      <c r="J1309" s="26"/>
      <c r="K1309" s="26"/>
      <c r="L1309" s="26"/>
      <c r="M1309" s="26"/>
      <c r="N1309" s="26"/>
      <c r="O1309" s="26"/>
      <c r="P1309" s="26"/>
      <c r="Q1309" s="26"/>
      <c r="R1309" s="26"/>
      <c r="S1309" s="26"/>
      <c r="T1309" s="26"/>
      <c r="U1309" s="26"/>
      <c r="V1309" s="26"/>
      <c r="W1309" s="26"/>
      <c r="X1309" s="26"/>
      <c r="Y1309" s="26"/>
      <c r="Z1309" s="26"/>
      <c r="AA1309" s="26"/>
      <c r="AB1309" s="26"/>
      <c r="AC1309" s="26"/>
      <c r="AD1309" s="26"/>
      <c r="AE1309" s="26"/>
      <c r="AF1309" s="26"/>
      <c r="AG1309" s="26"/>
      <c r="AH1309" s="26"/>
      <c r="AI1309" s="26"/>
      <c r="AJ1309" s="26"/>
      <c r="AK1309" s="26"/>
      <c r="AL1309" s="26"/>
      <c r="AM1309" s="26"/>
      <c r="AN1309" s="26"/>
      <c r="AO1309" s="26"/>
      <c r="AP1309" s="26"/>
      <c r="AQ1309" s="26"/>
      <c r="AR1309" s="26"/>
      <c r="AS1309" s="26"/>
      <c r="AT1309" s="26"/>
      <c r="AU1309" s="26"/>
      <c r="AV1309" s="26"/>
      <c r="AW1309" s="26"/>
      <c r="AX1309" s="26"/>
      <c r="AY1309" s="26"/>
    </row>
    <row r="1310" spans="1:51" ht="12.75" customHeight="1">
      <c r="A1310" s="26"/>
      <c r="B1310" s="66"/>
      <c r="C1310" s="67"/>
      <c r="D1310" s="67"/>
      <c r="E1310" s="26"/>
      <c r="F1310" s="26"/>
      <c r="G1310" s="26"/>
      <c r="H1310" s="26"/>
      <c r="I1310" s="26"/>
      <c r="J1310" s="26"/>
      <c r="K1310" s="26"/>
      <c r="L1310" s="26"/>
      <c r="M1310" s="26"/>
      <c r="N1310" s="26"/>
      <c r="O1310" s="26"/>
      <c r="P1310" s="26"/>
      <c r="Q1310" s="26"/>
      <c r="R1310" s="26"/>
      <c r="S1310" s="26"/>
      <c r="T1310" s="26"/>
      <c r="U1310" s="26"/>
      <c r="V1310" s="26"/>
      <c r="W1310" s="26"/>
      <c r="X1310" s="26"/>
      <c r="Y1310" s="26"/>
      <c r="Z1310" s="26"/>
      <c r="AA1310" s="26"/>
      <c r="AB1310" s="26"/>
      <c r="AC1310" s="26"/>
      <c r="AD1310" s="26"/>
      <c r="AE1310" s="26"/>
      <c r="AF1310" s="26"/>
      <c r="AG1310" s="26"/>
      <c r="AH1310" s="26"/>
      <c r="AI1310" s="26"/>
      <c r="AJ1310" s="26"/>
      <c r="AK1310" s="26"/>
      <c r="AL1310" s="26"/>
      <c r="AM1310" s="26"/>
      <c r="AN1310" s="26"/>
      <c r="AO1310" s="26"/>
      <c r="AP1310" s="26"/>
      <c r="AQ1310" s="26"/>
      <c r="AR1310" s="26"/>
      <c r="AS1310" s="26"/>
      <c r="AT1310" s="26"/>
      <c r="AU1310" s="26"/>
      <c r="AV1310" s="26"/>
      <c r="AW1310" s="26"/>
      <c r="AX1310" s="26"/>
      <c r="AY1310" s="26"/>
    </row>
    <row r="1311" spans="1:51" ht="12.75" customHeight="1">
      <c r="A1311" s="26"/>
      <c r="B1311" s="66"/>
      <c r="C1311" s="67"/>
      <c r="D1311" s="67"/>
      <c r="E1311" s="26"/>
      <c r="F1311" s="26"/>
      <c r="G1311" s="26"/>
      <c r="H1311" s="26"/>
      <c r="I1311" s="26"/>
      <c r="J1311" s="26"/>
      <c r="K1311" s="26"/>
      <c r="L1311" s="26"/>
      <c r="M1311" s="26"/>
      <c r="N1311" s="26"/>
      <c r="O1311" s="26"/>
      <c r="P1311" s="26"/>
      <c r="Q1311" s="26"/>
      <c r="R1311" s="26"/>
      <c r="S1311" s="26"/>
      <c r="T1311" s="26"/>
      <c r="U1311" s="26"/>
      <c r="V1311" s="26"/>
      <c r="W1311" s="26"/>
      <c r="X1311" s="26"/>
      <c r="Y1311" s="26"/>
      <c r="Z1311" s="26"/>
      <c r="AA1311" s="26"/>
      <c r="AB1311" s="26"/>
      <c r="AC1311" s="26"/>
      <c r="AD1311" s="26"/>
      <c r="AE1311" s="26"/>
      <c r="AF1311" s="26"/>
      <c r="AG1311" s="26"/>
      <c r="AH1311" s="26"/>
      <c r="AI1311" s="26"/>
      <c r="AJ1311" s="26"/>
      <c r="AK1311" s="26"/>
      <c r="AL1311" s="26"/>
      <c r="AM1311" s="26"/>
      <c r="AN1311" s="26"/>
      <c r="AO1311" s="26"/>
      <c r="AP1311" s="26"/>
      <c r="AQ1311" s="26"/>
      <c r="AR1311" s="26"/>
      <c r="AS1311" s="26"/>
      <c r="AT1311" s="26"/>
      <c r="AU1311" s="26"/>
      <c r="AV1311" s="26"/>
      <c r="AW1311" s="26"/>
      <c r="AX1311" s="26"/>
      <c r="AY1311" s="26"/>
    </row>
    <row r="1312" spans="1:51" ht="12.75" customHeight="1">
      <c r="A1312" s="26"/>
      <c r="B1312" s="66"/>
      <c r="C1312" s="67"/>
      <c r="D1312" s="67"/>
      <c r="E1312" s="26"/>
      <c r="F1312" s="26"/>
      <c r="G1312" s="26"/>
      <c r="H1312" s="26"/>
      <c r="I1312" s="26"/>
      <c r="J1312" s="26"/>
      <c r="K1312" s="26"/>
      <c r="L1312" s="26"/>
      <c r="M1312" s="26"/>
      <c r="N1312" s="26"/>
      <c r="O1312" s="26"/>
      <c r="P1312" s="26"/>
      <c r="Q1312" s="26"/>
      <c r="R1312" s="26"/>
      <c r="S1312" s="26"/>
      <c r="T1312" s="26"/>
      <c r="U1312" s="26"/>
      <c r="V1312" s="26"/>
      <c r="W1312" s="26"/>
      <c r="X1312" s="26"/>
      <c r="Y1312" s="26"/>
      <c r="Z1312" s="26"/>
      <c r="AA1312" s="26"/>
      <c r="AB1312" s="26"/>
      <c r="AC1312" s="26"/>
      <c r="AD1312" s="26"/>
      <c r="AE1312" s="26"/>
      <c r="AF1312" s="26"/>
      <c r="AG1312" s="26"/>
      <c r="AH1312" s="26"/>
      <c r="AI1312" s="26"/>
      <c r="AJ1312" s="26"/>
      <c r="AK1312" s="26"/>
      <c r="AL1312" s="26"/>
      <c r="AM1312" s="26"/>
      <c r="AN1312" s="26"/>
      <c r="AO1312" s="26"/>
      <c r="AP1312" s="26"/>
      <c r="AQ1312" s="26"/>
      <c r="AR1312" s="26"/>
      <c r="AS1312" s="26"/>
      <c r="AT1312" s="26"/>
      <c r="AU1312" s="26"/>
      <c r="AV1312" s="26"/>
      <c r="AW1312" s="26"/>
      <c r="AX1312" s="26"/>
      <c r="AY1312" s="26"/>
    </row>
    <row r="1313" spans="1:51" ht="12.75" customHeight="1">
      <c r="A1313" s="26"/>
      <c r="B1313" s="66"/>
      <c r="C1313" s="67"/>
      <c r="D1313" s="67"/>
      <c r="E1313" s="26"/>
      <c r="F1313" s="26"/>
      <c r="G1313" s="26"/>
      <c r="H1313" s="26"/>
      <c r="I1313" s="26"/>
      <c r="J1313" s="26"/>
      <c r="K1313" s="26"/>
      <c r="L1313" s="26"/>
      <c r="M1313" s="26"/>
      <c r="N1313" s="26"/>
      <c r="O1313" s="26"/>
      <c r="P1313" s="26"/>
      <c r="Q1313" s="26"/>
      <c r="R1313" s="26"/>
      <c r="S1313" s="26"/>
      <c r="T1313" s="26"/>
      <c r="U1313" s="26"/>
      <c r="V1313" s="26"/>
      <c r="W1313" s="26"/>
      <c r="X1313" s="26"/>
      <c r="Y1313" s="26"/>
      <c r="Z1313" s="26"/>
      <c r="AA1313" s="26"/>
      <c r="AB1313" s="26"/>
      <c r="AC1313" s="26"/>
      <c r="AD1313" s="26"/>
      <c r="AE1313" s="26"/>
      <c r="AF1313" s="26"/>
      <c r="AG1313" s="26"/>
      <c r="AH1313" s="26"/>
      <c r="AI1313" s="26"/>
      <c r="AJ1313" s="26"/>
      <c r="AK1313" s="26"/>
      <c r="AL1313" s="26"/>
      <c r="AM1313" s="26"/>
      <c r="AN1313" s="26"/>
      <c r="AO1313" s="26"/>
      <c r="AP1313" s="26"/>
      <c r="AQ1313" s="26"/>
      <c r="AR1313" s="26"/>
      <c r="AS1313" s="26"/>
      <c r="AT1313" s="26"/>
      <c r="AU1313" s="26"/>
      <c r="AV1313" s="26"/>
      <c r="AW1313" s="26"/>
      <c r="AX1313" s="26"/>
      <c r="AY1313" s="26"/>
    </row>
    <row r="1314" spans="1:51" ht="12.75" customHeight="1">
      <c r="A1314" s="26"/>
      <c r="B1314" s="66"/>
      <c r="C1314" s="67"/>
      <c r="D1314" s="67"/>
      <c r="E1314" s="26"/>
      <c r="F1314" s="26"/>
      <c r="G1314" s="26"/>
      <c r="H1314" s="26"/>
      <c r="I1314" s="26"/>
      <c r="J1314" s="26"/>
      <c r="K1314" s="26"/>
      <c r="L1314" s="26"/>
      <c r="M1314" s="26"/>
      <c r="N1314" s="26"/>
      <c r="O1314" s="26"/>
      <c r="P1314" s="26"/>
      <c r="Q1314" s="26"/>
      <c r="R1314" s="26"/>
      <c r="S1314" s="26"/>
      <c r="T1314" s="26"/>
      <c r="U1314" s="26"/>
      <c r="V1314" s="26"/>
      <c r="W1314" s="26"/>
      <c r="X1314" s="26"/>
      <c r="Y1314" s="26"/>
      <c r="Z1314" s="26"/>
      <c r="AA1314" s="26"/>
      <c r="AB1314" s="26"/>
      <c r="AC1314" s="26"/>
      <c r="AD1314" s="26"/>
      <c r="AE1314" s="26"/>
      <c r="AF1314" s="26"/>
      <c r="AG1314" s="26"/>
      <c r="AH1314" s="26"/>
      <c r="AI1314" s="26"/>
      <c r="AJ1314" s="26"/>
      <c r="AK1314" s="26"/>
      <c r="AL1314" s="26"/>
      <c r="AM1314" s="26"/>
      <c r="AN1314" s="26"/>
      <c r="AO1314" s="26"/>
      <c r="AP1314" s="26"/>
      <c r="AQ1314" s="26"/>
      <c r="AR1314" s="26"/>
      <c r="AS1314" s="26"/>
      <c r="AT1314" s="26"/>
      <c r="AU1314" s="26"/>
      <c r="AV1314" s="26"/>
      <c r="AW1314" s="26"/>
      <c r="AX1314" s="26"/>
      <c r="AY1314" s="26"/>
    </row>
    <row r="1315" spans="1:51" ht="12.75" customHeight="1">
      <c r="A1315" s="26"/>
      <c r="B1315" s="66"/>
      <c r="C1315" s="67"/>
      <c r="D1315" s="67"/>
      <c r="E1315" s="26"/>
      <c r="F1315" s="26"/>
      <c r="G1315" s="26"/>
      <c r="H1315" s="26"/>
      <c r="I1315" s="26"/>
      <c r="J1315" s="26"/>
      <c r="K1315" s="26"/>
      <c r="L1315" s="26"/>
      <c r="M1315" s="26"/>
      <c r="N1315" s="26"/>
      <c r="O1315" s="26"/>
      <c r="P1315" s="26"/>
      <c r="Q1315" s="26"/>
      <c r="R1315" s="26"/>
      <c r="S1315" s="26"/>
      <c r="T1315" s="26"/>
      <c r="U1315" s="26"/>
      <c r="V1315" s="26"/>
      <c r="W1315" s="26"/>
      <c r="X1315" s="26"/>
      <c r="Y1315" s="26"/>
      <c r="Z1315" s="26"/>
      <c r="AA1315" s="26"/>
      <c r="AB1315" s="26"/>
      <c r="AC1315" s="26"/>
      <c r="AD1315" s="26"/>
      <c r="AE1315" s="26"/>
      <c r="AF1315" s="26"/>
      <c r="AG1315" s="26"/>
      <c r="AH1315" s="26"/>
      <c r="AI1315" s="26"/>
      <c r="AJ1315" s="26"/>
      <c r="AK1315" s="26"/>
      <c r="AL1315" s="26"/>
      <c r="AM1315" s="26"/>
      <c r="AN1315" s="26"/>
      <c r="AO1315" s="26"/>
      <c r="AP1315" s="26"/>
      <c r="AQ1315" s="26"/>
      <c r="AR1315" s="26"/>
      <c r="AS1315" s="26"/>
      <c r="AT1315" s="26"/>
      <c r="AU1315" s="26"/>
      <c r="AV1315" s="26"/>
      <c r="AW1315" s="26"/>
      <c r="AX1315" s="26"/>
      <c r="AY1315" s="26"/>
    </row>
    <row r="1316" spans="1:51" ht="12.75" customHeight="1">
      <c r="A1316" s="26"/>
      <c r="B1316" s="66"/>
      <c r="C1316" s="67"/>
      <c r="D1316" s="67"/>
      <c r="E1316" s="26"/>
      <c r="F1316" s="26"/>
      <c r="G1316" s="26"/>
      <c r="H1316" s="26"/>
      <c r="I1316" s="26"/>
      <c r="J1316" s="26"/>
      <c r="K1316" s="26"/>
      <c r="L1316" s="26"/>
      <c r="M1316" s="26"/>
      <c r="N1316" s="26"/>
      <c r="O1316" s="26"/>
      <c r="P1316" s="26"/>
      <c r="Q1316" s="26"/>
      <c r="R1316" s="26"/>
      <c r="S1316" s="26"/>
      <c r="T1316" s="26"/>
      <c r="U1316" s="26"/>
      <c r="V1316" s="26"/>
      <c r="W1316" s="26"/>
      <c r="X1316" s="26"/>
      <c r="Y1316" s="26"/>
      <c r="Z1316" s="26"/>
      <c r="AA1316" s="26"/>
      <c r="AB1316" s="26"/>
      <c r="AC1316" s="26"/>
      <c r="AD1316" s="26"/>
      <c r="AE1316" s="26"/>
      <c r="AF1316" s="26"/>
      <c r="AG1316" s="26"/>
      <c r="AH1316" s="26"/>
      <c r="AI1316" s="26"/>
      <c r="AJ1316" s="26"/>
      <c r="AK1316" s="26"/>
      <c r="AL1316" s="26"/>
      <c r="AM1316" s="26"/>
      <c r="AN1316" s="26"/>
      <c r="AO1316" s="26"/>
      <c r="AP1316" s="26"/>
      <c r="AQ1316" s="26"/>
      <c r="AR1316" s="26"/>
      <c r="AS1316" s="26"/>
      <c r="AT1316" s="26"/>
      <c r="AU1316" s="26"/>
      <c r="AV1316" s="26"/>
      <c r="AW1316" s="26"/>
      <c r="AX1316" s="26"/>
      <c r="AY1316" s="26"/>
    </row>
    <row r="1317" spans="1:51" ht="12.75" customHeight="1">
      <c r="A1317" s="26"/>
      <c r="B1317" s="66"/>
      <c r="C1317" s="67"/>
      <c r="D1317" s="67"/>
      <c r="E1317" s="26"/>
      <c r="F1317" s="26"/>
      <c r="G1317" s="26"/>
      <c r="H1317" s="26"/>
      <c r="I1317" s="26"/>
      <c r="J1317" s="26"/>
      <c r="K1317" s="26"/>
      <c r="L1317" s="26"/>
      <c r="M1317" s="26"/>
      <c r="N1317" s="26"/>
      <c r="O1317" s="26"/>
      <c r="P1317" s="26"/>
      <c r="Q1317" s="26"/>
      <c r="R1317" s="26"/>
      <c r="S1317" s="26"/>
      <c r="T1317" s="26"/>
      <c r="U1317" s="26"/>
      <c r="V1317" s="26"/>
      <c r="W1317" s="26"/>
      <c r="X1317" s="26"/>
      <c r="Y1317" s="26"/>
      <c r="Z1317" s="26"/>
      <c r="AA1317" s="26"/>
      <c r="AB1317" s="26"/>
      <c r="AC1317" s="26"/>
      <c r="AD1317" s="26"/>
      <c r="AE1317" s="26"/>
      <c r="AF1317" s="26"/>
      <c r="AG1317" s="26"/>
      <c r="AH1317" s="26"/>
      <c r="AI1317" s="26"/>
      <c r="AJ1317" s="26"/>
      <c r="AK1317" s="26"/>
      <c r="AL1317" s="26"/>
      <c r="AM1317" s="26"/>
      <c r="AN1317" s="26"/>
      <c r="AO1317" s="26"/>
      <c r="AP1317" s="26"/>
      <c r="AQ1317" s="26"/>
      <c r="AR1317" s="26"/>
      <c r="AS1317" s="26"/>
      <c r="AT1317" s="26"/>
      <c r="AU1317" s="26"/>
      <c r="AV1317" s="26"/>
      <c r="AW1317" s="26"/>
      <c r="AX1317" s="26"/>
      <c r="AY1317" s="26"/>
    </row>
    <row r="1318" spans="1:51" ht="12.75" customHeight="1">
      <c r="A1318" s="26"/>
      <c r="B1318" s="66"/>
      <c r="C1318" s="67"/>
      <c r="D1318" s="67"/>
      <c r="E1318" s="26"/>
      <c r="F1318" s="26"/>
      <c r="G1318" s="26"/>
      <c r="H1318" s="26"/>
      <c r="I1318" s="26"/>
      <c r="J1318" s="26"/>
      <c r="K1318" s="26"/>
      <c r="L1318" s="26"/>
      <c r="M1318" s="26"/>
      <c r="N1318" s="26"/>
      <c r="O1318" s="26"/>
      <c r="P1318" s="26"/>
      <c r="Q1318" s="26"/>
      <c r="R1318" s="26"/>
      <c r="S1318" s="26"/>
      <c r="T1318" s="26"/>
      <c r="U1318" s="26"/>
      <c r="V1318" s="26"/>
      <c r="W1318" s="26"/>
      <c r="X1318" s="26"/>
      <c r="Y1318" s="26"/>
      <c r="Z1318" s="26"/>
      <c r="AA1318" s="26"/>
      <c r="AB1318" s="26"/>
      <c r="AC1318" s="26"/>
      <c r="AD1318" s="26"/>
      <c r="AE1318" s="26"/>
      <c r="AF1318" s="26"/>
      <c r="AG1318" s="26"/>
      <c r="AH1318" s="26"/>
      <c r="AI1318" s="26"/>
      <c r="AJ1318" s="26"/>
      <c r="AK1318" s="26"/>
      <c r="AL1318" s="26"/>
      <c r="AM1318" s="26"/>
      <c r="AN1318" s="26"/>
      <c r="AO1318" s="26"/>
      <c r="AP1318" s="26"/>
      <c r="AQ1318" s="26"/>
      <c r="AR1318" s="26"/>
      <c r="AS1318" s="26"/>
      <c r="AT1318" s="26"/>
      <c r="AU1318" s="26"/>
      <c r="AV1318" s="26"/>
      <c r="AW1318" s="26"/>
      <c r="AX1318" s="26"/>
      <c r="AY1318" s="26"/>
    </row>
    <row r="1319" spans="1:51" ht="12.75" customHeight="1">
      <c r="A1319" s="26"/>
      <c r="B1319" s="66"/>
      <c r="C1319" s="67"/>
      <c r="D1319" s="67"/>
      <c r="E1319" s="26"/>
      <c r="F1319" s="26"/>
      <c r="G1319" s="26"/>
      <c r="H1319" s="26"/>
      <c r="I1319" s="26"/>
      <c r="J1319" s="26"/>
      <c r="K1319" s="26"/>
      <c r="L1319" s="26"/>
      <c r="M1319" s="26"/>
      <c r="N1319" s="26"/>
      <c r="O1319" s="26"/>
      <c r="P1319" s="26"/>
      <c r="Q1319" s="26"/>
      <c r="R1319" s="26"/>
      <c r="S1319" s="26"/>
      <c r="T1319" s="26"/>
      <c r="U1319" s="26"/>
      <c r="V1319" s="26"/>
      <c r="W1319" s="26"/>
      <c r="X1319" s="26"/>
      <c r="Y1319" s="26"/>
      <c r="Z1319" s="26"/>
      <c r="AA1319" s="26"/>
      <c r="AB1319" s="26"/>
      <c r="AC1319" s="26"/>
      <c r="AD1319" s="26"/>
      <c r="AE1319" s="26"/>
      <c r="AF1319" s="26"/>
      <c r="AG1319" s="26"/>
      <c r="AH1319" s="26"/>
      <c r="AI1319" s="26"/>
      <c r="AJ1319" s="26"/>
      <c r="AK1319" s="26"/>
      <c r="AL1319" s="26"/>
      <c r="AM1319" s="26"/>
      <c r="AN1319" s="26"/>
      <c r="AO1319" s="26"/>
      <c r="AP1319" s="26"/>
      <c r="AQ1319" s="26"/>
      <c r="AR1319" s="26"/>
      <c r="AS1319" s="26"/>
      <c r="AT1319" s="26"/>
      <c r="AU1319" s="26"/>
      <c r="AV1319" s="26"/>
      <c r="AW1319" s="26"/>
      <c r="AX1319" s="26"/>
      <c r="AY1319" s="26"/>
    </row>
    <row r="1320" spans="1:51" ht="12.75" customHeight="1">
      <c r="A1320" s="26"/>
      <c r="B1320" s="66"/>
      <c r="C1320" s="67"/>
      <c r="D1320" s="67"/>
      <c r="E1320" s="26"/>
      <c r="F1320" s="26"/>
      <c r="G1320" s="26"/>
      <c r="H1320" s="26"/>
      <c r="I1320" s="26"/>
      <c r="J1320" s="26"/>
      <c r="K1320" s="26"/>
      <c r="L1320" s="26"/>
      <c r="M1320" s="26"/>
      <c r="N1320" s="26"/>
      <c r="O1320" s="26"/>
      <c r="P1320" s="26"/>
      <c r="Q1320" s="26"/>
      <c r="R1320" s="26"/>
      <c r="S1320" s="26"/>
      <c r="T1320" s="26"/>
      <c r="U1320" s="26"/>
      <c r="V1320" s="26"/>
      <c r="W1320" s="26"/>
      <c r="X1320" s="26"/>
      <c r="Y1320" s="26"/>
      <c r="Z1320" s="26"/>
      <c r="AA1320" s="26"/>
      <c r="AB1320" s="26"/>
      <c r="AC1320" s="26"/>
      <c r="AD1320" s="26"/>
      <c r="AE1320" s="26"/>
      <c r="AF1320" s="26"/>
      <c r="AG1320" s="26"/>
      <c r="AH1320" s="26"/>
      <c r="AI1320" s="26"/>
      <c r="AJ1320" s="26"/>
      <c r="AK1320" s="26"/>
      <c r="AL1320" s="26"/>
      <c r="AM1320" s="26"/>
      <c r="AN1320" s="26"/>
      <c r="AO1320" s="26"/>
      <c r="AP1320" s="26"/>
      <c r="AQ1320" s="26"/>
      <c r="AR1320" s="26"/>
      <c r="AS1320" s="26"/>
      <c r="AT1320" s="26"/>
      <c r="AU1320" s="26"/>
      <c r="AV1320" s="26"/>
      <c r="AW1320" s="26"/>
      <c r="AX1320" s="26"/>
      <c r="AY1320" s="26"/>
    </row>
    <row r="1321" spans="1:51" ht="12.75" customHeight="1">
      <c r="A1321" s="26"/>
      <c r="B1321" s="66"/>
      <c r="C1321" s="67"/>
      <c r="D1321" s="67"/>
      <c r="E1321" s="26"/>
      <c r="F1321" s="26"/>
      <c r="G1321" s="26"/>
      <c r="H1321" s="26"/>
      <c r="I1321" s="26"/>
      <c r="J1321" s="26"/>
      <c r="K1321" s="26"/>
      <c r="L1321" s="26"/>
      <c r="M1321" s="26"/>
      <c r="N1321" s="26"/>
      <c r="O1321" s="26"/>
      <c r="P1321" s="26"/>
      <c r="Q1321" s="26"/>
      <c r="R1321" s="26"/>
      <c r="S1321" s="26"/>
      <c r="T1321" s="26"/>
      <c r="U1321" s="26"/>
      <c r="V1321" s="26"/>
      <c r="W1321" s="26"/>
      <c r="X1321" s="26"/>
      <c r="Y1321" s="26"/>
      <c r="Z1321" s="26"/>
      <c r="AA1321" s="26"/>
      <c r="AB1321" s="26"/>
      <c r="AC1321" s="26"/>
      <c r="AD1321" s="26"/>
      <c r="AE1321" s="26"/>
      <c r="AF1321" s="26"/>
      <c r="AG1321" s="26"/>
      <c r="AH1321" s="26"/>
      <c r="AI1321" s="26"/>
      <c r="AJ1321" s="26"/>
      <c r="AK1321" s="26"/>
      <c r="AL1321" s="26"/>
      <c r="AM1321" s="26"/>
      <c r="AN1321" s="26"/>
      <c r="AO1321" s="26"/>
      <c r="AP1321" s="26"/>
      <c r="AQ1321" s="26"/>
      <c r="AR1321" s="26"/>
      <c r="AS1321" s="26"/>
      <c r="AT1321" s="26"/>
      <c r="AU1321" s="26"/>
      <c r="AV1321" s="26"/>
      <c r="AW1321" s="26"/>
      <c r="AX1321" s="26"/>
      <c r="AY1321" s="26"/>
    </row>
    <row r="1322" spans="1:51" ht="12.75" customHeight="1">
      <c r="A1322" s="26"/>
      <c r="B1322" s="66"/>
      <c r="C1322" s="67"/>
      <c r="D1322" s="67"/>
      <c r="E1322" s="26"/>
      <c r="F1322" s="26"/>
      <c r="G1322" s="26"/>
      <c r="H1322" s="26"/>
      <c r="I1322" s="26"/>
      <c r="J1322" s="26"/>
      <c r="K1322" s="26"/>
      <c r="L1322" s="26"/>
      <c r="M1322" s="26"/>
      <c r="N1322" s="26"/>
      <c r="O1322" s="26"/>
      <c r="P1322" s="26"/>
      <c r="Q1322" s="26"/>
      <c r="R1322" s="26"/>
      <c r="S1322" s="26"/>
      <c r="T1322" s="26"/>
      <c r="U1322" s="26"/>
      <c r="V1322" s="26"/>
      <c r="W1322" s="26"/>
      <c r="X1322" s="26"/>
      <c r="Y1322" s="26"/>
      <c r="Z1322" s="26"/>
      <c r="AA1322" s="26"/>
      <c r="AB1322" s="26"/>
      <c r="AC1322" s="26"/>
      <c r="AD1322" s="26"/>
      <c r="AE1322" s="26"/>
      <c r="AF1322" s="26"/>
      <c r="AG1322" s="26"/>
      <c r="AH1322" s="26"/>
      <c r="AI1322" s="26"/>
      <c r="AJ1322" s="26"/>
      <c r="AK1322" s="26"/>
      <c r="AL1322" s="26"/>
      <c r="AM1322" s="26"/>
      <c r="AN1322" s="26"/>
      <c r="AO1322" s="26"/>
      <c r="AP1322" s="26"/>
      <c r="AQ1322" s="26"/>
      <c r="AR1322" s="26"/>
      <c r="AS1322" s="26"/>
      <c r="AT1322" s="26"/>
      <c r="AU1322" s="26"/>
      <c r="AV1322" s="26"/>
      <c r="AW1322" s="26"/>
      <c r="AX1322" s="26"/>
      <c r="AY1322" s="26"/>
    </row>
    <row r="1323" spans="1:51" ht="12.75" customHeight="1">
      <c r="A1323" s="26"/>
      <c r="B1323" s="66"/>
      <c r="C1323" s="67"/>
      <c r="D1323" s="67"/>
      <c r="E1323" s="26"/>
      <c r="F1323" s="26"/>
      <c r="G1323" s="26"/>
      <c r="H1323" s="26"/>
      <c r="I1323" s="26"/>
      <c r="J1323" s="26"/>
      <c r="K1323" s="26"/>
      <c r="L1323" s="26"/>
      <c r="M1323" s="26"/>
      <c r="N1323" s="26"/>
      <c r="O1323" s="26"/>
      <c r="P1323" s="26"/>
      <c r="Q1323" s="26"/>
      <c r="R1323" s="26"/>
      <c r="S1323" s="26"/>
      <c r="T1323" s="26"/>
      <c r="U1323" s="26"/>
      <c r="V1323" s="26"/>
      <c r="W1323" s="26"/>
      <c r="X1323" s="26"/>
      <c r="Y1323" s="26"/>
      <c r="Z1323" s="26"/>
      <c r="AA1323" s="26"/>
      <c r="AB1323" s="26"/>
      <c r="AC1323" s="26"/>
      <c r="AD1323" s="26"/>
      <c r="AE1323" s="26"/>
      <c r="AF1323" s="26"/>
      <c r="AG1323" s="26"/>
      <c r="AH1323" s="26"/>
      <c r="AI1323" s="26"/>
      <c r="AJ1323" s="26"/>
      <c r="AK1323" s="26"/>
      <c r="AL1323" s="26"/>
      <c r="AM1323" s="26"/>
      <c r="AN1323" s="26"/>
      <c r="AO1323" s="26"/>
      <c r="AP1323" s="26"/>
      <c r="AQ1323" s="26"/>
      <c r="AR1323" s="26"/>
      <c r="AS1323" s="26"/>
      <c r="AT1323" s="26"/>
      <c r="AU1323" s="26"/>
      <c r="AV1323" s="26"/>
      <c r="AW1323" s="26"/>
      <c r="AX1323" s="26"/>
      <c r="AY1323" s="26"/>
    </row>
    <row r="1324" spans="1:51" ht="12.75" customHeight="1">
      <c r="A1324" s="26"/>
      <c r="B1324" s="66"/>
      <c r="C1324" s="67"/>
      <c r="D1324" s="67"/>
      <c r="E1324" s="26"/>
      <c r="F1324" s="26"/>
      <c r="G1324" s="26"/>
      <c r="H1324" s="26"/>
      <c r="I1324" s="26"/>
      <c r="J1324" s="26"/>
      <c r="K1324" s="26"/>
      <c r="L1324" s="26"/>
      <c r="M1324" s="26"/>
      <c r="N1324" s="26"/>
      <c r="O1324" s="26"/>
      <c r="P1324" s="26"/>
      <c r="Q1324" s="26"/>
      <c r="R1324" s="26"/>
      <c r="S1324" s="26"/>
      <c r="T1324" s="26"/>
      <c r="U1324" s="26"/>
      <c r="V1324" s="26"/>
      <c r="W1324" s="26"/>
      <c r="X1324" s="26"/>
      <c r="Y1324" s="26"/>
      <c r="Z1324" s="26"/>
      <c r="AA1324" s="26"/>
      <c r="AB1324" s="26"/>
      <c r="AC1324" s="26"/>
      <c r="AD1324" s="26"/>
      <c r="AE1324" s="26"/>
      <c r="AF1324" s="26"/>
      <c r="AG1324" s="26"/>
      <c r="AH1324" s="26"/>
      <c r="AI1324" s="26"/>
      <c r="AJ1324" s="26"/>
      <c r="AK1324" s="26"/>
      <c r="AL1324" s="26"/>
      <c r="AM1324" s="26"/>
      <c r="AN1324" s="26"/>
      <c r="AO1324" s="26"/>
      <c r="AP1324" s="26"/>
      <c r="AQ1324" s="26"/>
      <c r="AR1324" s="26"/>
      <c r="AS1324" s="26"/>
      <c r="AT1324" s="26"/>
      <c r="AU1324" s="26"/>
      <c r="AV1324" s="26"/>
      <c r="AW1324" s="26"/>
      <c r="AX1324" s="26"/>
      <c r="AY1324" s="26"/>
    </row>
    <row r="1325" spans="1:51" ht="12.75" customHeight="1">
      <c r="A1325" s="26"/>
      <c r="B1325" s="66"/>
      <c r="C1325" s="67"/>
      <c r="D1325" s="67"/>
      <c r="E1325" s="26"/>
      <c r="F1325" s="26"/>
      <c r="G1325" s="26"/>
      <c r="H1325" s="26"/>
      <c r="I1325" s="26"/>
      <c r="J1325" s="26"/>
      <c r="K1325" s="26"/>
      <c r="L1325" s="26"/>
      <c r="M1325" s="26"/>
      <c r="N1325" s="26"/>
      <c r="O1325" s="26"/>
      <c r="P1325" s="26"/>
      <c r="Q1325" s="26"/>
      <c r="R1325" s="26"/>
      <c r="S1325" s="26"/>
      <c r="T1325" s="26"/>
      <c r="U1325" s="26"/>
      <c r="V1325" s="26"/>
      <c r="W1325" s="26"/>
      <c r="X1325" s="26"/>
      <c r="Y1325" s="26"/>
      <c r="Z1325" s="26"/>
      <c r="AA1325" s="26"/>
      <c r="AB1325" s="26"/>
      <c r="AC1325" s="26"/>
      <c r="AD1325" s="26"/>
      <c r="AE1325" s="26"/>
      <c r="AF1325" s="26"/>
      <c r="AG1325" s="26"/>
      <c r="AH1325" s="26"/>
      <c r="AI1325" s="26"/>
      <c r="AJ1325" s="26"/>
      <c r="AK1325" s="26"/>
      <c r="AL1325" s="26"/>
      <c r="AM1325" s="26"/>
      <c r="AN1325" s="26"/>
      <c r="AO1325" s="26"/>
      <c r="AP1325" s="26"/>
      <c r="AQ1325" s="26"/>
      <c r="AR1325" s="26"/>
      <c r="AS1325" s="26"/>
      <c r="AT1325" s="26"/>
      <c r="AU1325" s="26"/>
      <c r="AV1325" s="26"/>
      <c r="AW1325" s="26"/>
      <c r="AX1325" s="26"/>
      <c r="AY1325" s="26"/>
    </row>
    <row r="1326" spans="1:51" ht="12.75" customHeight="1">
      <c r="A1326" s="26"/>
      <c r="B1326" s="66"/>
      <c r="C1326" s="67"/>
      <c r="D1326" s="67"/>
      <c r="E1326" s="26"/>
      <c r="F1326" s="26"/>
      <c r="G1326" s="26"/>
      <c r="H1326" s="26"/>
      <c r="I1326" s="26"/>
      <c r="J1326" s="26"/>
      <c r="K1326" s="26"/>
      <c r="L1326" s="26"/>
      <c r="M1326" s="26"/>
      <c r="N1326" s="26"/>
      <c r="O1326" s="26"/>
      <c r="P1326" s="26"/>
      <c r="Q1326" s="26"/>
      <c r="R1326" s="26"/>
      <c r="S1326" s="26"/>
      <c r="T1326" s="26"/>
      <c r="U1326" s="26"/>
      <c r="V1326" s="26"/>
      <c r="W1326" s="26"/>
      <c r="X1326" s="26"/>
      <c r="Y1326" s="26"/>
      <c r="Z1326" s="26"/>
      <c r="AA1326" s="26"/>
      <c r="AB1326" s="26"/>
      <c r="AC1326" s="26"/>
      <c r="AD1326" s="26"/>
      <c r="AE1326" s="26"/>
      <c r="AF1326" s="26"/>
      <c r="AG1326" s="26"/>
      <c r="AH1326" s="26"/>
      <c r="AI1326" s="26"/>
      <c r="AJ1326" s="26"/>
      <c r="AK1326" s="26"/>
      <c r="AL1326" s="26"/>
      <c r="AM1326" s="26"/>
      <c r="AN1326" s="26"/>
      <c r="AO1326" s="26"/>
      <c r="AP1326" s="26"/>
      <c r="AQ1326" s="26"/>
      <c r="AR1326" s="26"/>
      <c r="AS1326" s="26"/>
      <c r="AT1326" s="26"/>
      <c r="AU1326" s="26"/>
      <c r="AV1326" s="26"/>
      <c r="AW1326" s="26"/>
      <c r="AX1326" s="26"/>
      <c r="AY1326" s="26"/>
    </row>
    <row r="1327" spans="1:51" ht="12.75" customHeight="1">
      <c r="A1327" s="26"/>
      <c r="B1327" s="66"/>
      <c r="C1327" s="67"/>
      <c r="D1327" s="67"/>
      <c r="E1327" s="26"/>
      <c r="F1327" s="26"/>
      <c r="G1327" s="26"/>
      <c r="H1327" s="26"/>
      <c r="I1327" s="26"/>
      <c r="J1327" s="26"/>
      <c r="K1327" s="26"/>
      <c r="L1327" s="26"/>
      <c r="M1327" s="26"/>
      <c r="N1327" s="26"/>
      <c r="O1327" s="26"/>
      <c r="P1327" s="26"/>
      <c r="Q1327" s="26"/>
      <c r="R1327" s="26"/>
      <c r="S1327" s="26"/>
      <c r="T1327" s="26"/>
      <c r="U1327" s="26"/>
      <c r="V1327" s="26"/>
      <c r="W1327" s="26"/>
      <c r="X1327" s="26"/>
      <c r="Y1327" s="26"/>
      <c r="Z1327" s="26"/>
      <c r="AA1327" s="26"/>
      <c r="AB1327" s="26"/>
      <c r="AC1327" s="26"/>
      <c r="AD1327" s="26"/>
      <c r="AE1327" s="26"/>
      <c r="AF1327" s="26"/>
      <c r="AG1327" s="26"/>
      <c r="AH1327" s="26"/>
      <c r="AI1327" s="26"/>
      <c r="AJ1327" s="26"/>
      <c r="AK1327" s="26"/>
      <c r="AL1327" s="26"/>
      <c r="AM1327" s="26"/>
      <c r="AN1327" s="26"/>
      <c r="AO1327" s="26"/>
      <c r="AP1327" s="26"/>
      <c r="AQ1327" s="26"/>
      <c r="AR1327" s="26"/>
      <c r="AS1327" s="26"/>
      <c r="AT1327" s="26"/>
      <c r="AU1327" s="26"/>
      <c r="AV1327" s="26"/>
      <c r="AW1327" s="26"/>
      <c r="AX1327" s="26"/>
      <c r="AY1327" s="26"/>
    </row>
    <row r="1328" spans="1:51" ht="12.75" customHeight="1">
      <c r="A1328" s="26"/>
      <c r="B1328" s="66"/>
      <c r="C1328" s="67"/>
      <c r="D1328" s="67"/>
      <c r="E1328" s="26"/>
      <c r="F1328" s="26"/>
      <c r="G1328" s="26"/>
      <c r="H1328" s="26"/>
      <c r="I1328" s="26"/>
      <c r="J1328" s="26"/>
      <c r="K1328" s="26"/>
      <c r="L1328" s="26"/>
      <c r="M1328" s="26"/>
      <c r="N1328" s="26"/>
      <c r="O1328" s="26"/>
      <c r="P1328" s="26"/>
      <c r="Q1328" s="26"/>
      <c r="R1328" s="26"/>
      <c r="S1328" s="26"/>
      <c r="T1328" s="26"/>
      <c r="U1328" s="26"/>
      <c r="V1328" s="26"/>
      <c r="W1328" s="26"/>
      <c r="X1328" s="26"/>
      <c r="Y1328" s="26"/>
      <c r="Z1328" s="26"/>
      <c r="AA1328" s="26"/>
      <c r="AB1328" s="26"/>
      <c r="AC1328" s="26"/>
      <c r="AD1328" s="26"/>
      <c r="AE1328" s="26"/>
      <c r="AF1328" s="26"/>
      <c r="AG1328" s="26"/>
      <c r="AH1328" s="26"/>
      <c r="AI1328" s="26"/>
      <c r="AJ1328" s="26"/>
      <c r="AK1328" s="26"/>
      <c r="AL1328" s="26"/>
      <c r="AM1328" s="26"/>
      <c r="AN1328" s="26"/>
      <c r="AO1328" s="26"/>
      <c r="AP1328" s="26"/>
      <c r="AQ1328" s="26"/>
      <c r="AR1328" s="26"/>
      <c r="AS1328" s="26"/>
      <c r="AT1328" s="26"/>
      <c r="AU1328" s="26"/>
      <c r="AV1328" s="26"/>
      <c r="AW1328" s="26"/>
      <c r="AX1328" s="26"/>
      <c r="AY1328" s="26"/>
    </row>
    <row r="1329" spans="1:51" ht="12.75" customHeight="1">
      <c r="A1329" s="26"/>
      <c r="B1329" s="66"/>
      <c r="C1329" s="67"/>
      <c r="D1329" s="67"/>
      <c r="E1329" s="26"/>
      <c r="F1329" s="26"/>
      <c r="G1329" s="26"/>
      <c r="H1329" s="26"/>
      <c r="I1329" s="26"/>
      <c r="J1329" s="26"/>
      <c r="K1329" s="26"/>
      <c r="L1329" s="26"/>
      <c r="M1329" s="26"/>
      <c r="N1329" s="26"/>
      <c r="O1329" s="26"/>
      <c r="P1329" s="26"/>
      <c r="Q1329" s="26"/>
      <c r="R1329" s="26"/>
      <c r="S1329" s="26"/>
      <c r="T1329" s="26"/>
      <c r="U1329" s="26"/>
      <c r="V1329" s="26"/>
      <c r="W1329" s="26"/>
      <c r="X1329" s="26"/>
      <c r="Y1329" s="26"/>
      <c r="Z1329" s="26"/>
      <c r="AA1329" s="26"/>
      <c r="AB1329" s="26"/>
      <c r="AC1329" s="26"/>
      <c r="AD1329" s="26"/>
      <c r="AE1329" s="26"/>
      <c r="AF1329" s="26"/>
      <c r="AG1329" s="26"/>
      <c r="AH1329" s="26"/>
      <c r="AI1329" s="26"/>
      <c r="AJ1329" s="26"/>
      <c r="AK1329" s="26"/>
      <c r="AL1329" s="26"/>
      <c r="AM1329" s="26"/>
      <c r="AN1329" s="26"/>
      <c r="AO1329" s="26"/>
      <c r="AP1329" s="26"/>
      <c r="AQ1329" s="26"/>
      <c r="AR1329" s="26"/>
      <c r="AS1329" s="26"/>
      <c r="AT1329" s="26"/>
      <c r="AU1329" s="26"/>
      <c r="AV1329" s="26"/>
      <c r="AW1329" s="26"/>
      <c r="AX1329" s="26"/>
      <c r="AY1329" s="26"/>
    </row>
    <row r="1330" spans="1:51" ht="12.75" customHeight="1">
      <c r="A1330" s="26"/>
      <c r="B1330" s="66"/>
      <c r="C1330" s="67"/>
      <c r="D1330" s="67"/>
      <c r="E1330" s="26"/>
      <c r="F1330" s="26"/>
      <c r="G1330" s="26"/>
      <c r="H1330" s="26"/>
      <c r="I1330" s="26"/>
      <c r="J1330" s="26"/>
      <c r="K1330" s="26"/>
      <c r="L1330" s="26"/>
      <c r="M1330" s="26"/>
      <c r="N1330" s="26"/>
      <c r="O1330" s="26"/>
      <c r="P1330" s="26"/>
      <c r="Q1330" s="26"/>
      <c r="R1330" s="26"/>
      <c r="S1330" s="26"/>
      <c r="T1330" s="26"/>
      <c r="U1330" s="26"/>
      <c r="V1330" s="26"/>
      <c r="W1330" s="26"/>
      <c r="X1330" s="26"/>
      <c r="Y1330" s="26"/>
      <c r="Z1330" s="26"/>
      <c r="AA1330" s="26"/>
      <c r="AB1330" s="26"/>
      <c r="AC1330" s="26"/>
      <c r="AD1330" s="26"/>
      <c r="AE1330" s="26"/>
      <c r="AF1330" s="26"/>
      <c r="AG1330" s="26"/>
      <c r="AH1330" s="26"/>
      <c r="AI1330" s="26"/>
      <c r="AJ1330" s="26"/>
      <c r="AK1330" s="26"/>
      <c r="AL1330" s="26"/>
      <c r="AM1330" s="26"/>
      <c r="AN1330" s="26"/>
      <c r="AO1330" s="26"/>
      <c r="AP1330" s="26"/>
      <c r="AQ1330" s="26"/>
      <c r="AR1330" s="26"/>
      <c r="AS1330" s="26"/>
      <c r="AT1330" s="26"/>
      <c r="AU1330" s="26"/>
      <c r="AV1330" s="26"/>
      <c r="AW1330" s="26"/>
      <c r="AX1330" s="26"/>
      <c r="AY1330" s="26"/>
    </row>
    <row r="1331" spans="1:51" ht="12.75" customHeight="1">
      <c r="A1331" s="26"/>
      <c r="B1331" s="66"/>
      <c r="C1331" s="67"/>
      <c r="D1331" s="67"/>
      <c r="E1331" s="26"/>
      <c r="F1331" s="26"/>
      <c r="G1331" s="26"/>
      <c r="H1331" s="26"/>
      <c r="I1331" s="26"/>
      <c r="J1331" s="26"/>
      <c r="K1331" s="26"/>
      <c r="L1331" s="26"/>
      <c r="M1331" s="26"/>
      <c r="N1331" s="26"/>
      <c r="O1331" s="26"/>
      <c r="P1331" s="26"/>
      <c r="Q1331" s="26"/>
      <c r="R1331" s="26"/>
      <c r="S1331" s="26"/>
      <c r="T1331" s="26"/>
      <c r="U1331" s="26"/>
      <c r="V1331" s="26"/>
      <c r="W1331" s="26"/>
      <c r="X1331" s="26"/>
      <c r="Y1331" s="26"/>
      <c r="Z1331" s="26"/>
      <c r="AA1331" s="26"/>
      <c r="AB1331" s="26"/>
      <c r="AC1331" s="26"/>
      <c r="AD1331" s="26"/>
      <c r="AE1331" s="26"/>
      <c r="AF1331" s="26"/>
      <c r="AG1331" s="26"/>
      <c r="AH1331" s="26"/>
      <c r="AI1331" s="26"/>
      <c r="AJ1331" s="26"/>
      <c r="AK1331" s="26"/>
      <c r="AL1331" s="26"/>
      <c r="AM1331" s="26"/>
      <c r="AN1331" s="26"/>
      <c r="AO1331" s="26"/>
      <c r="AP1331" s="26"/>
      <c r="AQ1331" s="26"/>
      <c r="AR1331" s="26"/>
      <c r="AS1331" s="26"/>
      <c r="AT1331" s="26"/>
      <c r="AU1331" s="26"/>
      <c r="AV1331" s="26"/>
      <c r="AW1331" s="26"/>
      <c r="AX1331" s="26"/>
      <c r="AY1331" s="26"/>
    </row>
    <row r="1332" spans="1:51" ht="12.75" customHeight="1">
      <c r="A1332" s="26"/>
      <c r="B1332" s="66"/>
      <c r="C1332" s="67"/>
      <c r="D1332" s="67"/>
      <c r="E1332" s="26"/>
      <c r="F1332" s="26"/>
      <c r="G1332" s="26"/>
      <c r="H1332" s="26"/>
      <c r="I1332" s="26"/>
      <c r="J1332" s="26"/>
      <c r="K1332" s="26"/>
      <c r="L1332" s="26"/>
      <c r="M1332" s="26"/>
      <c r="N1332" s="26"/>
      <c r="O1332" s="26"/>
      <c r="P1332" s="26"/>
      <c r="Q1332" s="26"/>
      <c r="R1332" s="26"/>
      <c r="S1332" s="26"/>
      <c r="T1332" s="26"/>
      <c r="U1332" s="26"/>
      <c r="V1332" s="26"/>
      <c r="W1332" s="26"/>
      <c r="X1332" s="26"/>
      <c r="Y1332" s="26"/>
      <c r="Z1332" s="26"/>
      <c r="AA1332" s="26"/>
      <c r="AB1332" s="26"/>
      <c r="AC1332" s="26"/>
      <c r="AD1332" s="26"/>
      <c r="AE1332" s="26"/>
      <c r="AF1332" s="26"/>
      <c r="AG1332" s="26"/>
      <c r="AH1332" s="26"/>
      <c r="AI1332" s="26"/>
      <c r="AJ1332" s="26"/>
      <c r="AK1332" s="26"/>
      <c r="AL1332" s="26"/>
      <c r="AM1332" s="26"/>
      <c r="AN1332" s="26"/>
      <c r="AO1332" s="26"/>
      <c r="AP1332" s="26"/>
      <c r="AQ1332" s="26"/>
      <c r="AR1332" s="26"/>
      <c r="AS1332" s="26"/>
      <c r="AT1332" s="26"/>
      <c r="AU1332" s="26"/>
      <c r="AV1332" s="26"/>
      <c r="AW1332" s="26"/>
      <c r="AX1332" s="26"/>
      <c r="AY1332" s="26"/>
    </row>
    <row r="1333" spans="1:51" ht="12.75" customHeight="1">
      <c r="A1333" s="26"/>
      <c r="B1333" s="66"/>
      <c r="C1333" s="67"/>
      <c r="D1333" s="67"/>
      <c r="E1333" s="26"/>
      <c r="F1333" s="26"/>
      <c r="G1333" s="26"/>
      <c r="H1333" s="26"/>
      <c r="I1333" s="26"/>
      <c r="J1333" s="26"/>
      <c r="K1333" s="26"/>
      <c r="L1333" s="26"/>
      <c r="M1333" s="26"/>
      <c r="N1333" s="26"/>
      <c r="O1333" s="26"/>
      <c r="P1333" s="26"/>
      <c r="Q1333" s="26"/>
      <c r="R1333" s="26"/>
      <c r="S1333" s="26"/>
      <c r="T1333" s="26"/>
      <c r="U1333" s="26"/>
      <c r="V1333" s="26"/>
      <c r="W1333" s="26"/>
      <c r="X1333" s="26"/>
      <c r="Y1333" s="26"/>
      <c r="Z1333" s="26"/>
      <c r="AA1333" s="26"/>
      <c r="AB1333" s="26"/>
      <c r="AC1333" s="26"/>
      <c r="AD1333" s="26"/>
      <c r="AE1333" s="26"/>
      <c r="AF1333" s="26"/>
      <c r="AG1333" s="26"/>
      <c r="AH1333" s="26"/>
      <c r="AI1333" s="26"/>
      <c r="AJ1333" s="26"/>
      <c r="AK1333" s="26"/>
      <c r="AL1333" s="26"/>
      <c r="AM1333" s="26"/>
      <c r="AN1333" s="26"/>
      <c r="AO1333" s="26"/>
      <c r="AP1333" s="26"/>
      <c r="AQ1333" s="26"/>
      <c r="AR1333" s="26"/>
      <c r="AS1333" s="26"/>
      <c r="AT1333" s="26"/>
      <c r="AU1333" s="26"/>
      <c r="AV1333" s="26"/>
      <c r="AW1333" s="26"/>
      <c r="AX1333" s="26"/>
      <c r="AY1333" s="26"/>
    </row>
    <row r="1334" spans="1:51" ht="12.75" customHeight="1">
      <c r="A1334" s="26"/>
      <c r="B1334" s="66"/>
      <c r="C1334" s="67"/>
      <c r="D1334" s="67"/>
      <c r="E1334" s="26"/>
      <c r="F1334" s="26"/>
      <c r="G1334" s="26"/>
      <c r="H1334" s="26"/>
      <c r="I1334" s="26"/>
      <c r="J1334" s="26"/>
      <c r="K1334" s="26"/>
      <c r="L1334" s="26"/>
      <c r="M1334" s="26"/>
      <c r="N1334" s="26"/>
      <c r="O1334" s="26"/>
      <c r="P1334" s="26"/>
      <c r="Q1334" s="26"/>
      <c r="R1334" s="26"/>
      <c r="S1334" s="26"/>
      <c r="T1334" s="26"/>
      <c r="U1334" s="26"/>
      <c r="V1334" s="26"/>
      <c r="W1334" s="26"/>
      <c r="X1334" s="26"/>
      <c r="Y1334" s="26"/>
      <c r="Z1334" s="26"/>
      <c r="AA1334" s="26"/>
      <c r="AB1334" s="26"/>
      <c r="AC1334" s="26"/>
      <c r="AD1334" s="26"/>
      <c r="AE1334" s="26"/>
      <c r="AF1334" s="26"/>
      <c r="AG1334" s="26"/>
      <c r="AH1334" s="26"/>
      <c r="AI1334" s="26"/>
      <c r="AJ1334" s="26"/>
      <c r="AK1334" s="26"/>
      <c r="AL1334" s="26"/>
      <c r="AM1334" s="26"/>
      <c r="AN1334" s="26"/>
      <c r="AO1334" s="26"/>
      <c r="AP1334" s="26"/>
      <c r="AQ1334" s="26"/>
      <c r="AR1334" s="26"/>
      <c r="AS1334" s="26"/>
      <c r="AT1334" s="26"/>
      <c r="AU1334" s="26"/>
      <c r="AV1334" s="26"/>
      <c r="AW1334" s="26"/>
      <c r="AX1334" s="26"/>
      <c r="AY1334" s="26"/>
    </row>
    <row r="1335" spans="1:51" ht="12.75" customHeight="1">
      <c r="A1335" s="26"/>
      <c r="B1335" s="66"/>
      <c r="C1335" s="67"/>
      <c r="D1335" s="67"/>
      <c r="E1335" s="26"/>
      <c r="F1335" s="26"/>
      <c r="G1335" s="26"/>
      <c r="H1335" s="26"/>
      <c r="I1335" s="26"/>
      <c r="J1335" s="26"/>
      <c r="K1335" s="26"/>
      <c r="L1335" s="26"/>
      <c r="M1335" s="26"/>
      <c r="N1335" s="26"/>
      <c r="O1335" s="26"/>
      <c r="P1335" s="26"/>
      <c r="Q1335" s="26"/>
      <c r="R1335" s="26"/>
      <c r="S1335" s="76"/>
      <c r="T1335" s="26"/>
      <c r="U1335" s="26"/>
      <c r="V1335" s="26"/>
      <c r="W1335" s="26"/>
      <c r="X1335" s="26"/>
      <c r="Y1335" s="26"/>
      <c r="Z1335" s="26"/>
      <c r="AA1335" s="26"/>
      <c r="AB1335" s="26"/>
      <c r="AC1335" s="26"/>
      <c r="AD1335" s="26"/>
      <c r="AE1335" s="26"/>
      <c r="AF1335" s="26"/>
      <c r="AG1335" s="26"/>
      <c r="AH1335" s="26"/>
      <c r="AI1335" s="26"/>
      <c r="AJ1335" s="26"/>
      <c r="AK1335" s="26"/>
      <c r="AL1335" s="26"/>
      <c r="AM1335" s="26"/>
      <c r="AN1335" s="26"/>
      <c r="AO1335" s="26"/>
      <c r="AP1335" s="26"/>
      <c r="AQ1335" s="26"/>
      <c r="AR1335" s="26"/>
      <c r="AS1335" s="26"/>
      <c r="AT1335" s="26"/>
      <c r="AU1335" s="26"/>
      <c r="AV1335" s="26"/>
      <c r="AW1335" s="26"/>
      <c r="AX1335" s="26"/>
      <c r="AY1335" s="26"/>
    </row>
    <row r="1336" spans="1:51" ht="12.75" customHeight="1">
      <c r="A1336" s="26"/>
      <c r="B1336" s="66"/>
      <c r="C1336" s="67"/>
      <c r="D1336" s="67"/>
      <c r="E1336" s="26"/>
      <c r="F1336" s="26"/>
      <c r="G1336" s="26"/>
      <c r="H1336" s="26"/>
      <c r="I1336" s="26"/>
      <c r="J1336" s="26"/>
      <c r="K1336" s="26"/>
      <c r="L1336" s="26"/>
      <c r="M1336" s="26"/>
      <c r="N1336" s="26"/>
      <c r="O1336" s="26"/>
      <c r="P1336" s="26"/>
      <c r="Q1336" s="26"/>
      <c r="R1336" s="26"/>
      <c r="S1336" s="76"/>
      <c r="T1336" s="26"/>
      <c r="U1336" s="26"/>
      <c r="V1336" s="26"/>
      <c r="W1336" s="26"/>
      <c r="X1336" s="26"/>
      <c r="Y1336" s="26"/>
      <c r="Z1336" s="26"/>
      <c r="AA1336" s="26"/>
      <c r="AB1336" s="26"/>
      <c r="AC1336" s="26"/>
      <c r="AD1336" s="26"/>
      <c r="AE1336" s="26"/>
      <c r="AF1336" s="26"/>
      <c r="AG1336" s="26"/>
      <c r="AH1336" s="26"/>
      <c r="AI1336" s="26"/>
      <c r="AJ1336" s="26"/>
      <c r="AK1336" s="26"/>
      <c r="AL1336" s="26"/>
      <c r="AM1336" s="26"/>
      <c r="AN1336" s="26"/>
      <c r="AO1336" s="26"/>
      <c r="AP1336" s="26"/>
      <c r="AQ1336" s="26"/>
      <c r="AR1336" s="26"/>
      <c r="AS1336" s="26"/>
      <c r="AT1336" s="26"/>
      <c r="AU1336" s="26"/>
      <c r="AV1336" s="26"/>
      <c r="AW1336" s="26"/>
      <c r="AX1336" s="26"/>
      <c r="AY1336" s="26"/>
    </row>
    <row r="1337" spans="1:51" ht="12.75" customHeight="1">
      <c r="A1337" s="26"/>
      <c r="B1337" s="66"/>
      <c r="C1337" s="67"/>
      <c r="D1337" s="67"/>
      <c r="E1337" s="26"/>
      <c r="F1337" s="26"/>
      <c r="G1337" s="26"/>
      <c r="H1337" s="26"/>
      <c r="I1337" s="26"/>
      <c r="J1337" s="26"/>
      <c r="K1337" s="26"/>
      <c r="L1337" s="26"/>
      <c r="M1337" s="26"/>
      <c r="N1337" s="26"/>
      <c r="O1337" s="26"/>
      <c r="P1337" s="26"/>
      <c r="Q1337" s="26"/>
      <c r="R1337" s="26"/>
      <c r="S1337" s="86"/>
      <c r="T1337" s="26"/>
      <c r="U1337" s="26"/>
      <c r="V1337" s="26"/>
      <c r="W1337" s="26"/>
      <c r="X1337" s="26"/>
      <c r="Y1337" s="26"/>
      <c r="Z1337" s="26"/>
      <c r="AA1337" s="26"/>
      <c r="AB1337" s="26"/>
      <c r="AC1337" s="26"/>
      <c r="AD1337" s="26"/>
      <c r="AE1337" s="26"/>
      <c r="AF1337" s="26"/>
      <c r="AG1337" s="26"/>
      <c r="AH1337" s="26"/>
      <c r="AI1337" s="26"/>
      <c r="AJ1337" s="26"/>
      <c r="AK1337" s="26"/>
      <c r="AL1337" s="26"/>
      <c r="AM1337" s="26"/>
      <c r="AN1337" s="26"/>
      <c r="AO1337" s="26"/>
      <c r="AP1337" s="26"/>
      <c r="AQ1337" s="26"/>
      <c r="AR1337" s="26"/>
      <c r="AS1337" s="26"/>
      <c r="AT1337" s="26"/>
      <c r="AU1337" s="26"/>
      <c r="AV1337" s="26"/>
      <c r="AW1337" s="26"/>
      <c r="AX1337" s="26"/>
      <c r="AY1337" s="26"/>
    </row>
    <row r="1338" spans="1:51" ht="12.75" customHeight="1">
      <c r="A1338" s="26"/>
      <c r="B1338" s="66"/>
      <c r="C1338" s="67"/>
      <c r="D1338" s="67"/>
      <c r="E1338" s="26"/>
      <c r="F1338" s="26"/>
      <c r="G1338" s="26"/>
      <c r="H1338" s="26"/>
      <c r="I1338" s="26"/>
      <c r="J1338" s="26"/>
      <c r="K1338" s="26"/>
      <c r="L1338" s="26"/>
      <c r="M1338" s="26"/>
      <c r="N1338" s="26"/>
      <c r="O1338" s="26"/>
      <c r="P1338" s="26"/>
      <c r="Q1338" s="26"/>
      <c r="R1338" s="26"/>
      <c r="S1338" s="86"/>
      <c r="T1338" s="26"/>
      <c r="U1338" s="26"/>
      <c r="V1338" s="26"/>
      <c r="W1338" s="26"/>
      <c r="X1338" s="26"/>
      <c r="Y1338" s="26"/>
      <c r="Z1338" s="26"/>
      <c r="AA1338" s="26"/>
      <c r="AB1338" s="26"/>
      <c r="AC1338" s="26"/>
      <c r="AD1338" s="26"/>
      <c r="AE1338" s="26"/>
      <c r="AF1338" s="26"/>
      <c r="AG1338" s="26"/>
      <c r="AH1338" s="26"/>
      <c r="AI1338" s="26"/>
      <c r="AJ1338" s="26"/>
      <c r="AK1338" s="26"/>
      <c r="AL1338" s="26"/>
      <c r="AM1338" s="26"/>
      <c r="AN1338" s="26"/>
      <c r="AO1338" s="26"/>
      <c r="AP1338" s="26"/>
      <c r="AQ1338" s="26"/>
      <c r="AR1338" s="26"/>
      <c r="AS1338" s="26"/>
      <c r="AT1338" s="26"/>
      <c r="AU1338" s="26"/>
      <c r="AV1338" s="26"/>
      <c r="AW1338" s="26"/>
      <c r="AX1338" s="26"/>
      <c r="AY1338" s="26"/>
    </row>
    <row r="1339" spans="1:51" ht="12.75" customHeight="1">
      <c r="A1339" s="26"/>
      <c r="B1339" s="66"/>
      <c r="C1339" s="67"/>
      <c r="D1339" s="67"/>
      <c r="E1339" s="26"/>
      <c r="F1339" s="26"/>
      <c r="G1339" s="26"/>
      <c r="H1339" s="26"/>
      <c r="I1339" s="26"/>
      <c r="J1339" s="26"/>
      <c r="K1339" s="26"/>
      <c r="L1339" s="26"/>
      <c r="M1339" s="26"/>
      <c r="N1339" s="26"/>
      <c r="O1339" s="26"/>
      <c r="P1339" s="26"/>
      <c r="Q1339" s="26"/>
      <c r="R1339" s="26"/>
      <c r="S1339" s="86"/>
      <c r="T1339" s="26"/>
      <c r="U1339" s="26"/>
      <c r="V1339" s="26"/>
      <c r="W1339" s="26"/>
      <c r="X1339" s="26"/>
      <c r="Y1339" s="26"/>
      <c r="Z1339" s="26"/>
      <c r="AA1339" s="26"/>
      <c r="AB1339" s="26"/>
      <c r="AC1339" s="26"/>
      <c r="AD1339" s="26"/>
      <c r="AE1339" s="26"/>
      <c r="AF1339" s="26"/>
      <c r="AG1339" s="26"/>
      <c r="AH1339" s="26"/>
      <c r="AI1339" s="26"/>
      <c r="AJ1339" s="26"/>
      <c r="AK1339" s="26"/>
      <c r="AL1339" s="26"/>
      <c r="AM1339" s="26"/>
      <c r="AN1339" s="26"/>
      <c r="AO1339" s="26"/>
      <c r="AP1339" s="26"/>
      <c r="AQ1339" s="26"/>
      <c r="AR1339" s="26"/>
      <c r="AS1339" s="26"/>
      <c r="AT1339" s="26"/>
      <c r="AU1339" s="26"/>
      <c r="AV1339" s="26"/>
      <c r="AW1339" s="26"/>
      <c r="AX1339" s="26"/>
      <c r="AY1339" s="26"/>
    </row>
    <row r="1340" spans="1:51" ht="12.75" customHeight="1">
      <c r="A1340" s="26"/>
      <c r="B1340" s="66"/>
      <c r="C1340" s="67"/>
      <c r="D1340" s="67"/>
      <c r="E1340" s="26"/>
      <c r="F1340" s="26"/>
      <c r="G1340" s="26"/>
      <c r="H1340" s="26"/>
      <c r="I1340" s="26"/>
      <c r="J1340" s="26"/>
      <c r="K1340" s="26"/>
      <c r="L1340" s="26"/>
      <c r="M1340" s="26"/>
      <c r="N1340" s="26"/>
      <c r="O1340" s="26"/>
      <c r="P1340" s="26"/>
      <c r="Q1340" s="26"/>
      <c r="R1340" s="26"/>
      <c r="S1340" s="86"/>
      <c r="T1340" s="26"/>
      <c r="U1340" s="26"/>
      <c r="V1340" s="26"/>
      <c r="W1340" s="26"/>
      <c r="X1340" s="26"/>
      <c r="Y1340" s="26"/>
      <c r="Z1340" s="26"/>
      <c r="AA1340" s="26"/>
      <c r="AB1340" s="26"/>
      <c r="AC1340" s="26"/>
      <c r="AD1340" s="26"/>
      <c r="AE1340" s="26"/>
      <c r="AF1340" s="26"/>
      <c r="AG1340" s="26"/>
      <c r="AH1340" s="26"/>
      <c r="AI1340" s="26"/>
      <c r="AJ1340" s="26"/>
      <c r="AK1340" s="26"/>
      <c r="AL1340" s="26"/>
      <c r="AM1340" s="26"/>
      <c r="AN1340" s="26"/>
      <c r="AO1340" s="26"/>
      <c r="AP1340" s="26"/>
      <c r="AQ1340" s="26"/>
      <c r="AR1340" s="26"/>
      <c r="AS1340" s="26"/>
      <c r="AT1340" s="26"/>
      <c r="AU1340" s="26"/>
      <c r="AV1340" s="26"/>
      <c r="AW1340" s="26"/>
      <c r="AX1340" s="26"/>
      <c r="AY1340" s="26"/>
    </row>
    <row r="1341" spans="1:51" ht="12.75" customHeight="1">
      <c r="A1341" s="26"/>
      <c r="B1341" s="66"/>
      <c r="C1341" s="67"/>
      <c r="D1341" s="67"/>
      <c r="E1341" s="26"/>
      <c r="F1341" s="26"/>
      <c r="G1341" s="26"/>
      <c r="H1341" s="26"/>
      <c r="I1341" s="26"/>
      <c r="J1341" s="26"/>
      <c r="K1341" s="26"/>
      <c r="L1341" s="26"/>
      <c r="M1341" s="26"/>
      <c r="N1341" s="26"/>
      <c r="O1341" s="26"/>
      <c r="P1341" s="26"/>
      <c r="Q1341" s="26"/>
      <c r="R1341" s="26"/>
      <c r="S1341" s="86"/>
      <c r="T1341" s="26"/>
      <c r="U1341" s="26"/>
      <c r="V1341" s="26"/>
      <c r="W1341" s="26"/>
      <c r="X1341" s="26"/>
      <c r="Y1341" s="26"/>
      <c r="Z1341" s="26"/>
      <c r="AA1341" s="26"/>
      <c r="AB1341" s="26"/>
      <c r="AC1341" s="26"/>
      <c r="AD1341" s="26"/>
      <c r="AE1341" s="26"/>
      <c r="AF1341" s="26"/>
      <c r="AG1341" s="26"/>
      <c r="AH1341" s="26"/>
      <c r="AI1341" s="26"/>
      <c r="AJ1341" s="26"/>
      <c r="AK1341" s="26"/>
      <c r="AL1341" s="26"/>
      <c r="AM1341" s="26"/>
      <c r="AN1341" s="26"/>
      <c r="AO1341" s="26"/>
      <c r="AP1341" s="26"/>
      <c r="AQ1341" s="26"/>
      <c r="AR1341" s="26"/>
      <c r="AS1341" s="26"/>
      <c r="AT1341" s="26"/>
      <c r="AU1341" s="26"/>
      <c r="AV1341" s="26"/>
      <c r="AW1341" s="26"/>
      <c r="AX1341" s="26"/>
      <c r="AY1341" s="26"/>
    </row>
    <row r="1342" spans="1:51" ht="12.75" customHeight="1">
      <c r="A1342" s="26"/>
      <c r="B1342" s="66"/>
      <c r="C1342" s="67"/>
      <c r="D1342" s="67"/>
      <c r="E1342" s="26"/>
      <c r="F1342" s="26"/>
      <c r="G1342" s="26"/>
      <c r="H1342" s="26"/>
      <c r="I1342" s="26"/>
      <c r="J1342" s="26"/>
      <c r="K1342" s="26"/>
      <c r="L1342" s="26"/>
      <c r="M1342" s="26"/>
      <c r="N1342" s="26"/>
      <c r="O1342" s="26"/>
      <c r="P1342" s="26"/>
      <c r="Q1342" s="26"/>
      <c r="R1342" s="26"/>
      <c r="S1342" s="86"/>
      <c r="T1342" s="26"/>
      <c r="U1342" s="26"/>
      <c r="V1342" s="26"/>
      <c r="W1342" s="26"/>
      <c r="X1342" s="26"/>
      <c r="Y1342" s="26"/>
      <c r="Z1342" s="26"/>
      <c r="AA1342" s="26"/>
      <c r="AB1342" s="26"/>
      <c r="AC1342" s="26"/>
      <c r="AD1342" s="26"/>
      <c r="AE1342" s="26"/>
      <c r="AF1342" s="26"/>
      <c r="AG1342" s="26"/>
      <c r="AH1342" s="26"/>
      <c r="AI1342" s="26"/>
      <c r="AJ1342" s="26"/>
      <c r="AK1342" s="26"/>
      <c r="AL1342" s="26"/>
      <c r="AM1342" s="26"/>
      <c r="AN1342" s="26"/>
      <c r="AO1342" s="26"/>
      <c r="AP1342" s="26"/>
      <c r="AQ1342" s="26"/>
      <c r="AR1342" s="26"/>
      <c r="AS1342" s="26"/>
      <c r="AT1342" s="26"/>
      <c r="AU1342" s="26"/>
      <c r="AV1342" s="26"/>
      <c r="AW1342" s="26"/>
      <c r="AX1342" s="26"/>
      <c r="AY1342" s="26"/>
    </row>
    <row r="1343" spans="1:51" ht="12.75" customHeight="1">
      <c r="A1343" s="26"/>
      <c r="B1343" s="66"/>
      <c r="C1343" s="67"/>
      <c r="D1343" s="67"/>
      <c r="E1343" s="26"/>
      <c r="F1343" s="26"/>
      <c r="G1343" s="26"/>
      <c r="H1343" s="26"/>
      <c r="I1343" s="26"/>
      <c r="J1343" s="26"/>
      <c r="K1343" s="26"/>
      <c r="L1343" s="26"/>
      <c r="M1343" s="26"/>
      <c r="N1343" s="26"/>
      <c r="O1343" s="26"/>
      <c r="P1343" s="26"/>
      <c r="Q1343" s="26"/>
      <c r="R1343" s="26"/>
      <c r="S1343" s="86"/>
      <c r="T1343" s="26"/>
      <c r="U1343" s="26"/>
      <c r="V1343" s="26"/>
      <c r="W1343" s="26"/>
      <c r="X1343" s="26"/>
      <c r="Y1343" s="26"/>
      <c r="Z1343" s="26"/>
      <c r="AA1343" s="26"/>
      <c r="AB1343" s="26"/>
      <c r="AC1343" s="26"/>
      <c r="AD1343" s="26"/>
      <c r="AE1343" s="26"/>
      <c r="AF1343" s="26"/>
      <c r="AG1343" s="26"/>
      <c r="AH1343" s="26"/>
      <c r="AI1343" s="26"/>
      <c r="AJ1343" s="26"/>
      <c r="AK1343" s="26"/>
      <c r="AL1343" s="26"/>
      <c r="AM1343" s="26"/>
      <c r="AN1343" s="26"/>
      <c r="AO1343" s="26"/>
      <c r="AP1343" s="26"/>
      <c r="AQ1343" s="26"/>
      <c r="AR1343" s="26"/>
      <c r="AS1343" s="26"/>
      <c r="AT1343" s="26"/>
      <c r="AU1343" s="26"/>
      <c r="AV1343" s="26"/>
      <c r="AW1343" s="26"/>
      <c r="AX1343" s="26"/>
      <c r="AY1343" s="26"/>
    </row>
    <row r="1344" spans="1:51" ht="12.75" customHeight="1">
      <c r="A1344" s="26"/>
      <c r="B1344" s="66"/>
      <c r="C1344" s="67"/>
      <c r="D1344" s="67"/>
      <c r="E1344" s="26"/>
      <c r="F1344" s="26"/>
      <c r="G1344" s="26"/>
      <c r="H1344" s="26"/>
      <c r="I1344" s="26"/>
      <c r="J1344" s="26"/>
      <c r="K1344" s="26"/>
      <c r="L1344" s="26"/>
      <c r="M1344" s="26"/>
      <c r="N1344" s="26"/>
      <c r="O1344" s="26"/>
      <c r="P1344" s="26"/>
      <c r="Q1344" s="26"/>
      <c r="R1344" s="26"/>
      <c r="S1344" s="86"/>
      <c r="T1344" s="26"/>
      <c r="U1344" s="26"/>
      <c r="V1344" s="26"/>
      <c r="W1344" s="26"/>
      <c r="X1344" s="26"/>
      <c r="Y1344" s="26"/>
      <c r="Z1344" s="26"/>
      <c r="AA1344" s="26"/>
      <c r="AB1344" s="26"/>
      <c r="AC1344" s="26"/>
      <c r="AD1344" s="26"/>
      <c r="AE1344" s="26"/>
      <c r="AF1344" s="26"/>
      <c r="AG1344" s="26"/>
      <c r="AH1344" s="26"/>
      <c r="AI1344" s="26"/>
      <c r="AJ1344" s="26"/>
      <c r="AK1344" s="26"/>
      <c r="AL1344" s="26"/>
      <c r="AM1344" s="26"/>
      <c r="AN1344" s="26"/>
      <c r="AO1344" s="26"/>
      <c r="AP1344" s="26"/>
      <c r="AQ1344" s="26"/>
      <c r="AR1344" s="26"/>
      <c r="AS1344" s="26"/>
      <c r="AT1344" s="26"/>
      <c r="AU1344" s="26"/>
      <c r="AV1344" s="26"/>
      <c r="AW1344" s="26"/>
      <c r="AX1344" s="26"/>
      <c r="AY1344" s="26"/>
    </row>
    <row r="1345" spans="1:51" ht="12.75" customHeight="1">
      <c r="A1345" s="26"/>
      <c r="B1345" s="66"/>
      <c r="C1345" s="67"/>
      <c r="D1345" s="67"/>
      <c r="E1345" s="26"/>
      <c r="F1345" s="26"/>
      <c r="G1345" s="26"/>
      <c r="H1345" s="26"/>
      <c r="I1345" s="26"/>
      <c r="J1345" s="26"/>
      <c r="K1345" s="26"/>
      <c r="L1345" s="26"/>
      <c r="M1345" s="26"/>
      <c r="N1345" s="26"/>
      <c r="O1345" s="26"/>
      <c r="P1345" s="26"/>
      <c r="Q1345" s="26"/>
      <c r="R1345" s="26"/>
      <c r="S1345" s="86"/>
      <c r="T1345" s="26"/>
      <c r="U1345" s="26"/>
      <c r="V1345" s="26"/>
      <c r="W1345" s="26"/>
      <c r="X1345" s="26"/>
      <c r="Y1345" s="26"/>
      <c r="Z1345" s="26"/>
      <c r="AA1345" s="26"/>
      <c r="AB1345" s="26"/>
      <c r="AC1345" s="26"/>
      <c r="AD1345" s="26"/>
      <c r="AE1345" s="26"/>
      <c r="AF1345" s="26"/>
      <c r="AG1345" s="26"/>
      <c r="AH1345" s="26"/>
      <c r="AI1345" s="26"/>
      <c r="AJ1345" s="26"/>
      <c r="AK1345" s="26"/>
      <c r="AL1345" s="26"/>
      <c r="AM1345" s="26"/>
      <c r="AN1345" s="26"/>
      <c r="AO1345" s="26"/>
      <c r="AP1345" s="26"/>
      <c r="AQ1345" s="26"/>
      <c r="AR1345" s="26"/>
      <c r="AS1345" s="26"/>
      <c r="AT1345" s="26"/>
      <c r="AU1345" s="26"/>
      <c r="AV1345" s="26"/>
      <c r="AW1345" s="26"/>
      <c r="AX1345" s="26"/>
      <c r="AY1345" s="26"/>
    </row>
    <row r="1346" spans="1:51" ht="12.75" customHeight="1">
      <c r="A1346" s="26"/>
      <c r="B1346" s="66"/>
      <c r="C1346" s="67"/>
      <c r="D1346" s="67"/>
      <c r="E1346" s="26"/>
      <c r="F1346" s="26"/>
      <c r="G1346" s="26"/>
      <c r="H1346" s="26"/>
      <c r="I1346" s="26"/>
      <c r="J1346" s="26"/>
      <c r="K1346" s="26"/>
      <c r="L1346" s="26"/>
      <c r="M1346" s="26"/>
      <c r="N1346" s="26"/>
      <c r="O1346" s="26"/>
      <c r="P1346" s="26"/>
      <c r="Q1346" s="26"/>
      <c r="R1346" s="26"/>
      <c r="S1346" s="26"/>
      <c r="T1346" s="26"/>
      <c r="U1346" s="26"/>
      <c r="V1346" s="26"/>
      <c r="W1346" s="26"/>
      <c r="X1346" s="26"/>
      <c r="Y1346" s="26"/>
      <c r="Z1346" s="26"/>
      <c r="AA1346" s="26"/>
      <c r="AB1346" s="26"/>
      <c r="AC1346" s="26"/>
      <c r="AD1346" s="26"/>
      <c r="AE1346" s="26"/>
      <c r="AF1346" s="26"/>
      <c r="AG1346" s="26"/>
      <c r="AH1346" s="26"/>
      <c r="AI1346" s="26"/>
      <c r="AJ1346" s="26"/>
      <c r="AK1346" s="26"/>
      <c r="AL1346" s="26"/>
      <c r="AM1346" s="26"/>
      <c r="AN1346" s="26"/>
      <c r="AO1346" s="26"/>
      <c r="AP1346" s="26"/>
      <c r="AQ1346" s="26"/>
      <c r="AR1346" s="26"/>
      <c r="AS1346" s="26"/>
      <c r="AT1346" s="26"/>
      <c r="AU1346" s="26"/>
      <c r="AV1346" s="26"/>
      <c r="AW1346" s="26"/>
      <c r="AX1346" s="26"/>
      <c r="AY1346" s="26"/>
    </row>
    <row r="1347" spans="1:51" ht="12.75" customHeight="1">
      <c r="A1347" s="26"/>
      <c r="B1347" s="66"/>
      <c r="C1347" s="67"/>
      <c r="D1347" s="67"/>
      <c r="E1347" s="26"/>
      <c r="F1347" s="26"/>
      <c r="G1347" s="26"/>
      <c r="H1347" s="26"/>
      <c r="I1347" s="26"/>
      <c r="J1347" s="26"/>
      <c r="K1347" s="26"/>
      <c r="L1347" s="26"/>
      <c r="M1347" s="26"/>
      <c r="N1347" s="26"/>
      <c r="O1347" s="26"/>
      <c r="P1347" s="26"/>
      <c r="Q1347" s="26"/>
      <c r="R1347" s="26"/>
      <c r="S1347" s="26"/>
      <c r="T1347" s="26"/>
      <c r="U1347" s="26"/>
      <c r="V1347" s="26"/>
      <c r="W1347" s="26"/>
      <c r="X1347" s="26"/>
      <c r="Y1347" s="26"/>
      <c r="Z1347" s="26"/>
      <c r="AA1347" s="26"/>
      <c r="AB1347" s="26"/>
      <c r="AC1347" s="26"/>
      <c r="AD1347" s="26"/>
      <c r="AE1347" s="26"/>
      <c r="AF1347" s="26"/>
      <c r="AG1347" s="26"/>
      <c r="AH1347" s="26"/>
      <c r="AI1347" s="26"/>
      <c r="AJ1347" s="26"/>
      <c r="AK1347" s="26"/>
      <c r="AL1347" s="26"/>
      <c r="AM1347" s="26"/>
      <c r="AN1347" s="26"/>
      <c r="AO1347" s="26"/>
      <c r="AP1347" s="26"/>
      <c r="AQ1347" s="26"/>
      <c r="AR1347" s="26"/>
      <c r="AS1347" s="26"/>
      <c r="AT1347" s="26"/>
      <c r="AU1347" s="26"/>
      <c r="AV1347" s="26"/>
      <c r="AW1347" s="26"/>
      <c r="AX1347" s="26"/>
      <c r="AY1347" s="26"/>
    </row>
    <row r="1348" spans="1:51" ht="12.75" customHeight="1">
      <c r="A1348" s="26"/>
      <c r="B1348" s="66"/>
      <c r="C1348" s="67"/>
      <c r="D1348" s="67"/>
      <c r="E1348" s="26"/>
      <c r="F1348" s="26"/>
      <c r="G1348" s="26"/>
      <c r="H1348" s="26"/>
      <c r="I1348" s="26"/>
      <c r="J1348" s="26"/>
      <c r="K1348" s="26"/>
      <c r="L1348" s="26"/>
      <c r="M1348" s="26"/>
      <c r="N1348" s="26"/>
      <c r="O1348" s="26"/>
      <c r="P1348" s="26"/>
      <c r="Q1348" s="26"/>
      <c r="R1348" s="26"/>
      <c r="S1348" s="26"/>
      <c r="T1348" s="26"/>
      <c r="U1348" s="26"/>
      <c r="V1348" s="26"/>
      <c r="W1348" s="26"/>
      <c r="X1348" s="26"/>
      <c r="Y1348" s="26"/>
      <c r="Z1348" s="26"/>
      <c r="AA1348" s="26"/>
      <c r="AB1348" s="26"/>
      <c r="AC1348" s="26"/>
      <c r="AD1348" s="26"/>
      <c r="AE1348" s="26"/>
      <c r="AF1348" s="26"/>
      <c r="AG1348" s="26"/>
      <c r="AH1348" s="26"/>
      <c r="AI1348" s="26"/>
      <c r="AJ1348" s="26"/>
      <c r="AK1348" s="26"/>
      <c r="AL1348" s="26"/>
      <c r="AM1348" s="26"/>
      <c r="AN1348" s="26"/>
      <c r="AO1348" s="26"/>
      <c r="AP1348" s="26"/>
      <c r="AQ1348" s="26"/>
      <c r="AR1348" s="26"/>
      <c r="AS1348" s="26"/>
      <c r="AT1348" s="26"/>
      <c r="AU1348" s="26"/>
      <c r="AV1348" s="26"/>
      <c r="AW1348" s="26"/>
      <c r="AX1348" s="26"/>
      <c r="AY1348" s="26"/>
    </row>
    <row r="1349" spans="1:51" ht="12.75" customHeight="1">
      <c r="A1349" s="26"/>
      <c r="B1349" s="66"/>
      <c r="C1349" s="67"/>
      <c r="D1349" s="67"/>
      <c r="E1349" s="26"/>
      <c r="F1349" s="26"/>
      <c r="G1349" s="26"/>
      <c r="H1349" s="26"/>
      <c r="I1349" s="26"/>
      <c r="J1349" s="26"/>
      <c r="K1349" s="26"/>
      <c r="L1349" s="26"/>
      <c r="M1349" s="26"/>
      <c r="N1349" s="26"/>
      <c r="O1349" s="26"/>
      <c r="P1349" s="26"/>
      <c r="Q1349" s="26"/>
      <c r="R1349" s="26"/>
      <c r="S1349" s="26"/>
      <c r="T1349" s="26"/>
      <c r="U1349" s="26"/>
      <c r="V1349" s="26"/>
      <c r="W1349" s="26"/>
      <c r="X1349" s="26"/>
      <c r="Y1349" s="26"/>
      <c r="Z1349" s="26"/>
      <c r="AA1349" s="26"/>
      <c r="AB1349" s="26"/>
      <c r="AC1349" s="26"/>
      <c r="AD1349" s="26"/>
      <c r="AE1349" s="26"/>
      <c r="AF1349" s="26"/>
      <c r="AG1349" s="26"/>
      <c r="AH1349" s="26"/>
      <c r="AI1349" s="26"/>
      <c r="AJ1349" s="26"/>
      <c r="AK1349" s="26"/>
      <c r="AL1349" s="26"/>
      <c r="AM1349" s="26"/>
      <c r="AN1349" s="26"/>
      <c r="AO1349" s="26"/>
      <c r="AP1349" s="26"/>
      <c r="AQ1349" s="26"/>
      <c r="AR1349" s="26"/>
      <c r="AS1349" s="26"/>
      <c r="AT1349" s="26"/>
      <c r="AU1349" s="26"/>
      <c r="AV1349" s="26"/>
      <c r="AW1349" s="26"/>
      <c r="AX1349" s="26"/>
      <c r="AY1349" s="26"/>
    </row>
    <row r="1350" spans="1:51" ht="12.75" customHeight="1">
      <c r="A1350" s="26"/>
      <c r="B1350" s="66"/>
      <c r="C1350" s="67"/>
      <c r="D1350" s="67"/>
      <c r="E1350" s="26"/>
      <c r="F1350" s="26"/>
      <c r="G1350" s="26"/>
      <c r="H1350" s="26"/>
      <c r="I1350" s="26"/>
      <c r="J1350" s="26"/>
      <c r="K1350" s="26"/>
      <c r="L1350" s="26"/>
      <c r="M1350" s="26"/>
      <c r="N1350" s="26"/>
      <c r="O1350" s="26"/>
      <c r="P1350" s="26"/>
      <c r="Q1350" s="26"/>
      <c r="R1350" s="26"/>
      <c r="S1350" s="26"/>
      <c r="T1350" s="26"/>
      <c r="U1350" s="26"/>
      <c r="V1350" s="26"/>
      <c r="W1350" s="26"/>
      <c r="X1350" s="26"/>
      <c r="Y1350" s="26"/>
      <c r="Z1350" s="26"/>
      <c r="AA1350" s="26"/>
      <c r="AB1350" s="26"/>
      <c r="AC1350" s="26"/>
      <c r="AD1350" s="26"/>
      <c r="AE1350" s="26"/>
      <c r="AF1350" s="26"/>
      <c r="AG1350" s="26"/>
      <c r="AH1350" s="26"/>
      <c r="AI1350" s="26"/>
      <c r="AJ1350" s="26"/>
      <c r="AK1350" s="26"/>
      <c r="AL1350" s="26"/>
      <c r="AM1350" s="26"/>
      <c r="AN1350" s="26"/>
      <c r="AO1350" s="26"/>
      <c r="AP1350" s="26"/>
      <c r="AQ1350" s="26"/>
      <c r="AR1350" s="26"/>
      <c r="AS1350" s="26"/>
      <c r="AT1350" s="26"/>
      <c r="AU1350" s="26"/>
      <c r="AV1350" s="26"/>
      <c r="AW1350" s="26"/>
      <c r="AX1350" s="26"/>
      <c r="AY1350" s="26"/>
    </row>
    <row r="1351" spans="1:51" ht="12.75" customHeight="1">
      <c r="A1351" s="26"/>
      <c r="B1351" s="66"/>
      <c r="C1351" s="67"/>
      <c r="D1351" s="67"/>
      <c r="E1351" s="26"/>
      <c r="F1351" s="26"/>
      <c r="G1351" s="26"/>
      <c r="H1351" s="26"/>
      <c r="I1351" s="26"/>
      <c r="J1351" s="26"/>
      <c r="K1351" s="26"/>
      <c r="L1351" s="26"/>
      <c r="M1351" s="26"/>
      <c r="N1351" s="26"/>
      <c r="O1351" s="26"/>
      <c r="P1351" s="26"/>
      <c r="Q1351" s="26"/>
      <c r="R1351" s="26"/>
      <c r="S1351" s="26"/>
      <c r="T1351" s="26"/>
      <c r="U1351" s="26"/>
      <c r="V1351" s="26"/>
      <c r="W1351" s="26"/>
      <c r="X1351" s="26"/>
      <c r="Y1351" s="26"/>
      <c r="Z1351" s="26"/>
      <c r="AA1351" s="26"/>
      <c r="AB1351" s="26"/>
      <c r="AC1351" s="26"/>
      <c r="AD1351" s="26"/>
      <c r="AE1351" s="26"/>
      <c r="AF1351" s="26"/>
      <c r="AG1351" s="26"/>
      <c r="AH1351" s="26"/>
      <c r="AI1351" s="26"/>
      <c r="AJ1351" s="26"/>
      <c r="AK1351" s="26"/>
      <c r="AL1351" s="26"/>
      <c r="AM1351" s="26"/>
      <c r="AN1351" s="26"/>
      <c r="AO1351" s="26"/>
      <c r="AP1351" s="26"/>
      <c r="AQ1351" s="26"/>
      <c r="AR1351" s="26"/>
      <c r="AS1351" s="26"/>
      <c r="AT1351" s="26"/>
      <c r="AU1351" s="26"/>
      <c r="AV1351" s="26"/>
      <c r="AW1351" s="26"/>
      <c r="AX1351" s="26"/>
      <c r="AY1351" s="26"/>
    </row>
    <row r="1352" spans="1:51" ht="12.75" customHeight="1">
      <c r="A1352" s="26"/>
      <c r="B1352" s="66"/>
      <c r="C1352" s="67"/>
      <c r="D1352" s="67"/>
      <c r="E1352" s="26"/>
      <c r="F1352" s="26"/>
      <c r="G1352" s="26"/>
      <c r="H1352" s="26"/>
      <c r="I1352" s="26"/>
      <c r="J1352" s="26"/>
      <c r="K1352" s="26"/>
      <c r="L1352" s="26"/>
      <c r="M1352" s="26"/>
      <c r="N1352" s="26"/>
      <c r="O1352" s="26"/>
      <c r="P1352" s="26"/>
      <c r="Q1352" s="26"/>
      <c r="R1352" s="26"/>
      <c r="S1352" s="26"/>
      <c r="T1352" s="26"/>
      <c r="U1352" s="26"/>
      <c r="V1352" s="26"/>
      <c r="W1352" s="26"/>
      <c r="X1352" s="26"/>
      <c r="Y1352" s="26"/>
      <c r="Z1352" s="26"/>
      <c r="AA1352" s="26"/>
      <c r="AB1352" s="26"/>
      <c r="AC1352" s="26"/>
      <c r="AD1352" s="26"/>
      <c r="AE1352" s="26"/>
      <c r="AF1352" s="26"/>
      <c r="AG1352" s="26"/>
      <c r="AH1352" s="26"/>
      <c r="AI1352" s="26"/>
      <c r="AJ1352" s="26"/>
      <c r="AK1352" s="26"/>
      <c r="AL1352" s="26"/>
      <c r="AM1352" s="26"/>
      <c r="AN1352" s="26"/>
      <c r="AO1352" s="26"/>
      <c r="AP1352" s="26"/>
      <c r="AQ1352" s="26"/>
      <c r="AR1352" s="26"/>
      <c r="AS1352" s="26"/>
      <c r="AT1352" s="26"/>
      <c r="AU1352" s="26"/>
      <c r="AV1352" s="26"/>
      <c r="AW1352" s="26"/>
      <c r="AX1352" s="26"/>
      <c r="AY1352" s="26"/>
    </row>
    <row r="1353" spans="1:51" ht="12.75" customHeight="1">
      <c r="A1353" s="26"/>
      <c r="B1353" s="66"/>
      <c r="C1353" s="67"/>
      <c r="D1353" s="67"/>
      <c r="E1353" s="26"/>
      <c r="F1353" s="26"/>
      <c r="G1353" s="26"/>
      <c r="H1353" s="26"/>
      <c r="I1353" s="26"/>
      <c r="J1353" s="26"/>
      <c r="K1353" s="26"/>
      <c r="L1353" s="26"/>
      <c r="M1353" s="26"/>
      <c r="N1353" s="26"/>
      <c r="O1353" s="26"/>
      <c r="P1353" s="26"/>
      <c r="Q1353" s="26"/>
      <c r="R1353" s="26"/>
      <c r="S1353" s="26"/>
      <c r="T1353" s="26"/>
      <c r="U1353" s="26"/>
      <c r="V1353" s="26"/>
      <c r="W1353" s="26"/>
      <c r="X1353" s="26"/>
      <c r="Y1353" s="26"/>
      <c r="Z1353" s="26"/>
      <c r="AA1353" s="26"/>
      <c r="AB1353" s="26"/>
      <c r="AC1353" s="26"/>
      <c r="AD1353" s="26"/>
      <c r="AE1353" s="26"/>
      <c r="AF1353" s="26"/>
      <c r="AG1353" s="26"/>
      <c r="AH1353" s="26"/>
      <c r="AI1353" s="26"/>
      <c r="AJ1353" s="26"/>
      <c r="AK1353" s="26"/>
      <c r="AL1353" s="26"/>
      <c r="AM1353" s="26"/>
      <c r="AN1353" s="26"/>
      <c r="AO1353" s="26"/>
      <c r="AP1353" s="26"/>
      <c r="AQ1353" s="26"/>
      <c r="AR1353" s="26"/>
      <c r="AS1353" s="26"/>
      <c r="AT1353" s="26"/>
      <c r="AU1353" s="26"/>
      <c r="AV1353" s="26"/>
      <c r="AW1353" s="26"/>
      <c r="AX1353" s="26"/>
      <c r="AY1353" s="26"/>
    </row>
    <row r="1354" spans="1:51" ht="12.75" customHeight="1">
      <c r="A1354" s="26"/>
      <c r="B1354" s="66"/>
      <c r="C1354" s="67"/>
      <c r="D1354" s="67"/>
      <c r="E1354" s="26"/>
      <c r="F1354" s="26"/>
      <c r="G1354" s="26"/>
      <c r="H1354" s="26"/>
      <c r="I1354" s="26"/>
      <c r="J1354" s="26"/>
      <c r="K1354" s="26"/>
      <c r="L1354" s="26"/>
      <c r="M1354" s="26"/>
      <c r="N1354" s="26"/>
      <c r="O1354" s="26"/>
      <c r="P1354" s="26"/>
      <c r="Q1354" s="26"/>
      <c r="R1354" s="26"/>
      <c r="S1354" s="26"/>
      <c r="T1354" s="26"/>
      <c r="U1354" s="26"/>
      <c r="V1354" s="26"/>
      <c r="W1354" s="26"/>
      <c r="X1354" s="26"/>
      <c r="Y1354" s="26"/>
      <c r="Z1354" s="26"/>
      <c r="AA1354" s="26"/>
      <c r="AB1354" s="26"/>
      <c r="AC1354" s="26"/>
      <c r="AD1354" s="26"/>
      <c r="AE1354" s="26"/>
      <c r="AF1354" s="26"/>
      <c r="AG1354" s="26"/>
      <c r="AH1354" s="26"/>
      <c r="AI1354" s="26"/>
      <c r="AJ1354" s="26"/>
      <c r="AK1354" s="26"/>
      <c r="AL1354" s="26"/>
      <c r="AM1354" s="26"/>
      <c r="AN1354" s="26"/>
      <c r="AO1354" s="26"/>
      <c r="AP1354" s="26"/>
      <c r="AQ1354" s="26"/>
      <c r="AR1354" s="26"/>
      <c r="AS1354" s="26"/>
      <c r="AT1354" s="26"/>
      <c r="AU1354" s="26"/>
      <c r="AV1354" s="26"/>
      <c r="AW1354" s="26"/>
      <c r="AX1354" s="26"/>
      <c r="AY1354" s="26"/>
    </row>
    <row r="1355" spans="1:51" ht="12.75" customHeight="1">
      <c r="A1355" s="26"/>
      <c r="B1355" s="66"/>
      <c r="C1355" s="67"/>
      <c r="D1355" s="67"/>
      <c r="E1355" s="26"/>
      <c r="F1355" s="26"/>
      <c r="G1355" s="26"/>
      <c r="H1355" s="26"/>
      <c r="I1355" s="26"/>
      <c r="J1355" s="26"/>
      <c r="K1355" s="26"/>
      <c r="L1355" s="26"/>
      <c r="M1355" s="26"/>
      <c r="N1355" s="26"/>
      <c r="O1355" s="26"/>
      <c r="P1355" s="26"/>
      <c r="Q1355" s="26"/>
      <c r="R1355" s="26"/>
      <c r="S1355" s="26"/>
      <c r="T1355" s="26"/>
      <c r="U1355" s="26"/>
      <c r="V1355" s="26"/>
      <c r="W1355" s="26"/>
      <c r="X1355" s="26"/>
      <c r="Y1355" s="26"/>
      <c r="Z1355" s="26"/>
      <c r="AA1355" s="26"/>
      <c r="AB1355" s="26"/>
      <c r="AC1355" s="26"/>
      <c r="AD1355" s="26"/>
      <c r="AE1355" s="26"/>
      <c r="AF1355" s="26"/>
      <c r="AG1355" s="26"/>
      <c r="AH1355" s="26"/>
      <c r="AI1355" s="26"/>
      <c r="AJ1355" s="26"/>
      <c r="AK1355" s="26"/>
      <c r="AL1355" s="26"/>
      <c r="AM1355" s="26"/>
      <c r="AN1355" s="26"/>
      <c r="AO1355" s="26"/>
      <c r="AP1355" s="26"/>
      <c r="AQ1355" s="26"/>
      <c r="AR1355" s="26"/>
      <c r="AS1355" s="26"/>
      <c r="AT1355" s="26"/>
      <c r="AU1355" s="26"/>
      <c r="AV1355" s="26"/>
      <c r="AW1355" s="26"/>
      <c r="AX1355" s="26"/>
      <c r="AY1355" s="26"/>
    </row>
    <row r="1356" spans="1:51" ht="12.75" customHeight="1">
      <c r="A1356" s="26"/>
      <c r="B1356" s="66"/>
      <c r="C1356" s="67"/>
      <c r="D1356" s="67"/>
      <c r="E1356" s="26"/>
      <c r="F1356" s="26"/>
      <c r="G1356" s="26"/>
      <c r="H1356" s="26"/>
      <c r="I1356" s="26"/>
      <c r="J1356" s="26"/>
      <c r="K1356" s="26"/>
      <c r="L1356" s="26"/>
      <c r="M1356" s="26"/>
      <c r="N1356" s="26"/>
      <c r="O1356" s="26"/>
      <c r="P1356" s="26"/>
      <c r="Q1356" s="26"/>
      <c r="R1356" s="26"/>
      <c r="S1356" s="26"/>
      <c r="T1356" s="26"/>
      <c r="U1356" s="26"/>
      <c r="V1356" s="26"/>
      <c r="W1356" s="26"/>
      <c r="X1356" s="26"/>
      <c r="Y1356" s="26"/>
      <c r="Z1356" s="26"/>
      <c r="AA1356" s="26"/>
      <c r="AB1356" s="26"/>
      <c r="AC1356" s="26"/>
      <c r="AD1356" s="26"/>
      <c r="AE1356" s="26"/>
      <c r="AF1356" s="26"/>
      <c r="AG1356" s="26"/>
      <c r="AH1356" s="26"/>
      <c r="AI1356" s="26"/>
      <c r="AJ1356" s="26"/>
      <c r="AK1356" s="26"/>
      <c r="AL1356" s="26"/>
      <c r="AM1356" s="26"/>
      <c r="AN1356" s="26"/>
      <c r="AO1356" s="26"/>
      <c r="AP1356" s="26"/>
      <c r="AQ1356" s="26"/>
      <c r="AR1356" s="26"/>
      <c r="AS1356" s="26"/>
      <c r="AT1356" s="26"/>
      <c r="AU1356" s="26"/>
      <c r="AV1356" s="26"/>
      <c r="AW1356" s="26"/>
      <c r="AX1356" s="26"/>
      <c r="AY1356" s="26"/>
    </row>
    <row r="1357" spans="1:51" ht="12.75" customHeight="1">
      <c r="A1357" s="26"/>
      <c r="B1357" s="66"/>
      <c r="C1357" s="67"/>
      <c r="D1357" s="67"/>
      <c r="E1357" s="26"/>
      <c r="F1357" s="26"/>
      <c r="G1357" s="26"/>
      <c r="H1357" s="26"/>
      <c r="I1357" s="26"/>
      <c r="J1357" s="26"/>
      <c r="K1357" s="26"/>
      <c r="L1357" s="26"/>
      <c r="M1357" s="26"/>
      <c r="N1357" s="26"/>
      <c r="O1357" s="26"/>
      <c r="P1357" s="26"/>
      <c r="Q1357" s="26"/>
      <c r="R1357" s="26"/>
      <c r="S1357" s="26"/>
      <c r="T1357" s="26"/>
      <c r="U1357" s="26"/>
      <c r="V1357" s="26"/>
      <c r="W1357" s="26"/>
      <c r="X1357" s="26"/>
      <c r="Y1357" s="26"/>
      <c r="Z1357" s="26"/>
      <c r="AA1357" s="26"/>
      <c r="AB1357" s="26"/>
      <c r="AC1357" s="26"/>
      <c r="AD1357" s="26"/>
      <c r="AE1357" s="26"/>
      <c r="AF1357" s="26"/>
      <c r="AG1357" s="26"/>
      <c r="AH1357" s="26"/>
      <c r="AI1357" s="26"/>
      <c r="AJ1357" s="26"/>
      <c r="AK1357" s="26"/>
      <c r="AL1357" s="26"/>
      <c r="AM1357" s="26"/>
      <c r="AN1357" s="26"/>
      <c r="AO1357" s="26"/>
      <c r="AP1357" s="26"/>
      <c r="AQ1357" s="26"/>
      <c r="AR1357" s="26"/>
      <c r="AS1357" s="26"/>
      <c r="AT1357" s="26"/>
      <c r="AU1357" s="26"/>
      <c r="AV1357" s="26"/>
      <c r="AW1357" s="26"/>
      <c r="AX1357" s="26"/>
      <c r="AY1357" s="26"/>
    </row>
    <row r="1358" spans="1:51" ht="12.75" customHeight="1">
      <c r="A1358" s="26"/>
      <c r="B1358" s="66"/>
      <c r="C1358" s="67"/>
      <c r="D1358" s="67"/>
      <c r="E1358" s="26"/>
      <c r="F1358" s="26"/>
      <c r="G1358" s="26"/>
      <c r="H1358" s="26"/>
      <c r="I1358" s="26"/>
      <c r="J1358" s="26"/>
      <c r="K1358" s="26"/>
      <c r="L1358" s="26"/>
      <c r="M1358" s="26"/>
      <c r="N1358" s="26"/>
      <c r="O1358" s="26"/>
      <c r="P1358" s="26"/>
      <c r="Q1358" s="26"/>
      <c r="R1358" s="26"/>
      <c r="S1358" s="26"/>
      <c r="T1358" s="26"/>
      <c r="U1358" s="26"/>
      <c r="V1358" s="26"/>
      <c r="W1358" s="26"/>
      <c r="X1358" s="26"/>
      <c r="Y1358" s="26"/>
      <c r="Z1358" s="26"/>
      <c r="AA1358" s="26"/>
      <c r="AB1358" s="26"/>
      <c r="AC1358" s="26"/>
      <c r="AD1358" s="26"/>
      <c r="AE1358" s="26"/>
      <c r="AF1358" s="26"/>
      <c r="AG1358" s="26"/>
      <c r="AH1358" s="26"/>
      <c r="AI1358" s="26"/>
      <c r="AJ1358" s="26"/>
      <c r="AK1358" s="26"/>
      <c r="AL1358" s="26"/>
      <c r="AM1358" s="26"/>
      <c r="AN1358" s="26"/>
      <c r="AO1358" s="26"/>
      <c r="AP1358" s="26"/>
      <c r="AQ1358" s="26"/>
      <c r="AR1358" s="26"/>
      <c r="AS1358" s="26"/>
      <c r="AT1358" s="26"/>
      <c r="AU1358" s="26"/>
      <c r="AV1358" s="26"/>
      <c r="AW1358" s="26"/>
      <c r="AX1358" s="26"/>
      <c r="AY1358" s="26"/>
    </row>
    <row r="1359" spans="1:51" ht="12.75" customHeight="1">
      <c r="A1359" s="26"/>
      <c r="B1359" s="66"/>
      <c r="C1359" s="67"/>
      <c r="D1359" s="67"/>
      <c r="E1359" s="26"/>
      <c r="F1359" s="26"/>
      <c r="G1359" s="26"/>
      <c r="H1359" s="26"/>
      <c r="I1359" s="26"/>
      <c r="J1359" s="26"/>
      <c r="K1359" s="26"/>
      <c r="L1359" s="26"/>
      <c r="M1359" s="26"/>
      <c r="N1359" s="26"/>
      <c r="O1359" s="26"/>
      <c r="P1359" s="26"/>
      <c r="Q1359" s="26"/>
      <c r="R1359" s="26"/>
      <c r="S1359" s="26"/>
      <c r="T1359" s="26"/>
      <c r="U1359" s="26"/>
      <c r="V1359" s="26"/>
      <c r="W1359" s="26"/>
      <c r="X1359" s="26"/>
      <c r="Y1359" s="26"/>
      <c r="Z1359" s="26"/>
      <c r="AA1359" s="26"/>
      <c r="AB1359" s="26"/>
      <c r="AC1359" s="26"/>
      <c r="AD1359" s="26"/>
      <c r="AE1359" s="26"/>
      <c r="AF1359" s="26"/>
      <c r="AG1359" s="26"/>
      <c r="AH1359" s="26"/>
      <c r="AI1359" s="26"/>
      <c r="AJ1359" s="26"/>
      <c r="AK1359" s="26"/>
      <c r="AL1359" s="26"/>
      <c r="AM1359" s="26"/>
      <c r="AN1359" s="26"/>
      <c r="AO1359" s="26"/>
      <c r="AP1359" s="26"/>
      <c r="AQ1359" s="26"/>
      <c r="AR1359" s="26"/>
      <c r="AS1359" s="26"/>
      <c r="AT1359" s="26"/>
      <c r="AU1359" s="26"/>
      <c r="AV1359" s="26"/>
      <c r="AW1359" s="26"/>
      <c r="AX1359" s="26"/>
      <c r="AY1359" s="26"/>
    </row>
    <row r="1360" spans="1:51" ht="12.75" customHeight="1">
      <c r="A1360" s="26"/>
      <c r="B1360" s="66"/>
      <c r="C1360" s="67"/>
      <c r="D1360" s="67"/>
      <c r="E1360" s="26"/>
      <c r="F1360" s="26"/>
      <c r="G1360" s="26"/>
      <c r="H1360" s="26"/>
      <c r="I1360" s="26"/>
      <c r="J1360" s="26"/>
      <c r="K1360" s="26"/>
      <c r="L1360" s="26"/>
      <c r="M1360" s="26"/>
      <c r="N1360" s="26"/>
      <c r="O1360" s="26"/>
      <c r="P1360" s="26"/>
      <c r="Q1360" s="26"/>
      <c r="R1360" s="26"/>
      <c r="S1360" s="26"/>
      <c r="T1360" s="26"/>
      <c r="U1360" s="26"/>
      <c r="V1360" s="26"/>
      <c r="W1360" s="26"/>
      <c r="X1360" s="26"/>
      <c r="Y1360" s="26"/>
      <c r="Z1360" s="26"/>
      <c r="AA1360" s="26"/>
      <c r="AB1360" s="26"/>
      <c r="AC1360" s="26"/>
      <c r="AD1360" s="26"/>
      <c r="AE1360" s="26"/>
      <c r="AF1360" s="26"/>
      <c r="AG1360" s="26"/>
      <c r="AH1360" s="26"/>
      <c r="AI1360" s="26"/>
      <c r="AJ1360" s="26"/>
      <c r="AK1360" s="26"/>
      <c r="AL1360" s="26"/>
      <c r="AM1360" s="26"/>
      <c r="AN1360" s="26"/>
      <c r="AO1360" s="26"/>
      <c r="AP1360" s="26"/>
      <c r="AQ1360" s="26"/>
      <c r="AR1360" s="26"/>
      <c r="AS1360" s="26"/>
      <c r="AT1360" s="26"/>
      <c r="AU1360" s="26"/>
      <c r="AV1360" s="26"/>
      <c r="AW1360" s="26"/>
      <c r="AX1360" s="26"/>
      <c r="AY1360" s="26"/>
    </row>
    <row r="1361" spans="1:51" ht="12.75" customHeight="1">
      <c r="A1361" s="26"/>
      <c r="B1361" s="66"/>
      <c r="C1361" s="67"/>
      <c r="D1361" s="67"/>
      <c r="E1361" s="26"/>
      <c r="F1361" s="26"/>
      <c r="G1361" s="26"/>
      <c r="H1361" s="26"/>
      <c r="I1361" s="26"/>
      <c r="J1361" s="26"/>
      <c r="K1361" s="26"/>
      <c r="L1361" s="26"/>
      <c r="M1361" s="26"/>
      <c r="N1361" s="26"/>
      <c r="O1361" s="26"/>
      <c r="P1361" s="26"/>
      <c r="Q1361" s="26"/>
      <c r="R1361" s="26"/>
      <c r="S1361" s="26"/>
      <c r="T1361" s="26"/>
      <c r="U1361" s="26"/>
      <c r="V1361" s="26"/>
      <c r="W1361" s="26"/>
      <c r="X1361" s="26"/>
      <c r="Y1361" s="26"/>
      <c r="Z1361" s="26"/>
      <c r="AA1361" s="26"/>
      <c r="AB1361" s="26"/>
      <c r="AC1361" s="26"/>
      <c r="AD1361" s="26"/>
      <c r="AE1361" s="26"/>
      <c r="AF1361" s="26"/>
      <c r="AG1361" s="26"/>
      <c r="AH1361" s="26"/>
      <c r="AI1361" s="26"/>
      <c r="AJ1361" s="26"/>
      <c r="AK1361" s="26"/>
      <c r="AL1361" s="26"/>
      <c r="AM1361" s="26"/>
      <c r="AN1361" s="26"/>
      <c r="AO1361" s="26"/>
      <c r="AP1361" s="26"/>
      <c r="AQ1361" s="26"/>
      <c r="AR1361" s="26"/>
      <c r="AS1361" s="26"/>
      <c r="AT1361" s="26"/>
      <c r="AU1361" s="26"/>
      <c r="AV1361" s="26"/>
      <c r="AW1361" s="26"/>
      <c r="AX1361" s="26"/>
      <c r="AY1361" s="26"/>
    </row>
    <row r="1362" spans="1:51" ht="12.75" customHeight="1">
      <c r="A1362" s="26"/>
      <c r="B1362" s="66"/>
      <c r="C1362" s="67"/>
      <c r="D1362" s="67"/>
      <c r="E1362" s="26"/>
      <c r="F1362" s="26"/>
      <c r="G1362" s="26"/>
      <c r="H1362" s="26"/>
      <c r="I1362" s="26"/>
      <c r="J1362" s="26"/>
      <c r="K1362" s="26"/>
      <c r="L1362" s="26"/>
      <c r="M1362" s="26"/>
      <c r="N1362" s="26"/>
      <c r="O1362" s="26"/>
      <c r="P1362" s="26"/>
      <c r="Q1362" s="26"/>
      <c r="R1362" s="26"/>
      <c r="S1362" s="26"/>
      <c r="T1362" s="26"/>
      <c r="U1362" s="26"/>
      <c r="V1362" s="26"/>
      <c r="W1362" s="26"/>
      <c r="X1362" s="26"/>
      <c r="Y1362" s="26"/>
      <c r="Z1362" s="26"/>
      <c r="AA1362" s="26"/>
      <c r="AB1362" s="26"/>
      <c r="AC1362" s="26"/>
      <c r="AD1362" s="26"/>
      <c r="AE1362" s="26"/>
      <c r="AF1362" s="26"/>
      <c r="AG1362" s="26"/>
      <c r="AH1362" s="26"/>
      <c r="AI1362" s="26"/>
      <c r="AJ1362" s="26"/>
      <c r="AK1362" s="26"/>
      <c r="AL1362" s="26"/>
      <c r="AM1362" s="26"/>
      <c r="AN1362" s="26"/>
      <c r="AO1362" s="26"/>
      <c r="AP1362" s="26"/>
      <c r="AQ1362" s="26"/>
      <c r="AR1362" s="26"/>
      <c r="AS1362" s="26"/>
      <c r="AT1362" s="26"/>
      <c r="AU1362" s="26"/>
      <c r="AV1362" s="26"/>
      <c r="AW1362" s="26"/>
      <c r="AX1362" s="26"/>
      <c r="AY1362" s="26"/>
    </row>
    <row r="1363" spans="1:51" ht="12.75" customHeight="1">
      <c r="A1363" s="26"/>
      <c r="B1363" s="66"/>
      <c r="C1363" s="67"/>
      <c r="D1363" s="67"/>
      <c r="E1363" s="26"/>
      <c r="F1363" s="26"/>
      <c r="G1363" s="26"/>
      <c r="H1363" s="26"/>
      <c r="I1363" s="26"/>
      <c r="J1363" s="26"/>
      <c r="K1363" s="26"/>
      <c r="L1363" s="26"/>
      <c r="M1363" s="26"/>
      <c r="N1363" s="26"/>
      <c r="O1363" s="26"/>
      <c r="P1363" s="26"/>
      <c r="Q1363" s="26"/>
      <c r="R1363" s="26"/>
      <c r="S1363" s="26"/>
      <c r="T1363" s="26"/>
      <c r="U1363" s="26"/>
      <c r="V1363" s="26"/>
      <c r="W1363" s="26"/>
      <c r="X1363" s="26"/>
      <c r="Y1363" s="26"/>
      <c r="Z1363" s="26"/>
      <c r="AA1363" s="26"/>
      <c r="AB1363" s="26"/>
      <c r="AC1363" s="26"/>
      <c r="AD1363" s="26"/>
      <c r="AE1363" s="26"/>
      <c r="AF1363" s="26"/>
      <c r="AG1363" s="26"/>
      <c r="AH1363" s="26"/>
      <c r="AI1363" s="26"/>
      <c r="AJ1363" s="26"/>
      <c r="AK1363" s="26"/>
      <c r="AL1363" s="26"/>
      <c r="AM1363" s="26"/>
      <c r="AN1363" s="26"/>
      <c r="AO1363" s="26"/>
      <c r="AP1363" s="26"/>
      <c r="AQ1363" s="26"/>
      <c r="AR1363" s="26"/>
      <c r="AS1363" s="26"/>
      <c r="AT1363" s="26"/>
      <c r="AU1363" s="26"/>
      <c r="AV1363" s="26"/>
      <c r="AW1363" s="26"/>
      <c r="AX1363" s="26"/>
      <c r="AY1363" s="26"/>
    </row>
    <row r="1364" spans="1:51" ht="12.75" customHeight="1">
      <c r="A1364" s="26"/>
      <c r="B1364" s="66"/>
      <c r="C1364" s="67"/>
      <c r="D1364" s="67"/>
      <c r="E1364" s="26"/>
      <c r="F1364" s="26"/>
      <c r="G1364" s="26"/>
      <c r="H1364" s="26"/>
      <c r="I1364" s="26"/>
      <c r="J1364" s="26"/>
      <c r="K1364" s="26"/>
      <c r="L1364" s="26"/>
      <c r="M1364" s="26"/>
      <c r="N1364" s="26"/>
      <c r="O1364" s="26"/>
      <c r="P1364" s="26"/>
      <c r="Q1364" s="26"/>
      <c r="R1364" s="26"/>
      <c r="S1364" s="26"/>
      <c r="T1364" s="26"/>
      <c r="U1364" s="26"/>
      <c r="V1364" s="26"/>
      <c r="W1364" s="26"/>
      <c r="X1364" s="26"/>
      <c r="Y1364" s="26"/>
      <c r="Z1364" s="26"/>
      <c r="AA1364" s="26"/>
      <c r="AB1364" s="26"/>
      <c r="AC1364" s="26"/>
      <c r="AD1364" s="26"/>
      <c r="AE1364" s="26"/>
      <c r="AF1364" s="26"/>
      <c r="AG1364" s="26"/>
      <c r="AH1364" s="26"/>
      <c r="AI1364" s="26"/>
      <c r="AJ1364" s="26"/>
      <c r="AK1364" s="26"/>
      <c r="AL1364" s="26"/>
      <c r="AM1364" s="26"/>
      <c r="AN1364" s="26"/>
      <c r="AO1364" s="26"/>
      <c r="AP1364" s="26"/>
      <c r="AQ1364" s="26"/>
      <c r="AR1364" s="26"/>
      <c r="AS1364" s="26"/>
      <c r="AT1364" s="26"/>
      <c r="AU1364" s="26"/>
      <c r="AV1364" s="26"/>
      <c r="AW1364" s="26"/>
      <c r="AX1364" s="26"/>
      <c r="AY1364" s="26"/>
    </row>
    <row r="1365" spans="1:51" ht="12.75" customHeight="1">
      <c r="A1365" s="26"/>
      <c r="B1365" s="66"/>
      <c r="C1365" s="67"/>
      <c r="D1365" s="67"/>
      <c r="E1365" s="26"/>
      <c r="F1365" s="26"/>
      <c r="G1365" s="26"/>
      <c r="H1365" s="26"/>
      <c r="I1365" s="26"/>
      <c r="J1365" s="26"/>
      <c r="K1365" s="26"/>
      <c r="L1365" s="26"/>
      <c r="M1365" s="26"/>
      <c r="N1365" s="26"/>
      <c r="O1365" s="26"/>
      <c r="P1365" s="26"/>
      <c r="Q1365" s="26"/>
      <c r="R1365" s="26"/>
      <c r="S1365" s="26"/>
      <c r="T1365" s="26"/>
      <c r="U1365" s="26"/>
      <c r="V1365" s="26"/>
      <c r="W1365" s="26"/>
      <c r="X1365" s="26"/>
      <c r="Y1365" s="26"/>
      <c r="Z1365" s="26"/>
      <c r="AA1365" s="26"/>
      <c r="AB1365" s="26"/>
      <c r="AC1365" s="26"/>
      <c r="AD1365" s="26"/>
      <c r="AE1365" s="26"/>
      <c r="AF1365" s="26"/>
      <c r="AG1365" s="26"/>
      <c r="AH1365" s="26"/>
      <c r="AI1365" s="26"/>
      <c r="AJ1365" s="26"/>
      <c r="AK1365" s="26"/>
      <c r="AL1365" s="26"/>
      <c r="AM1365" s="26"/>
      <c r="AN1365" s="26"/>
      <c r="AO1365" s="26"/>
      <c r="AP1365" s="26"/>
      <c r="AQ1365" s="26"/>
      <c r="AR1365" s="26"/>
      <c r="AS1365" s="26"/>
      <c r="AT1365" s="26"/>
      <c r="AU1365" s="26"/>
      <c r="AV1365" s="26"/>
      <c r="AW1365" s="26"/>
      <c r="AX1365" s="26"/>
      <c r="AY1365" s="26"/>
    </row>
    <row r="1366" spans="1:51" ht="12.75" customHeight="1">
      <c r="A1366" s="26"/>
      <c r="B1366" s="66"/>
      <c r="C1366" s="67"/>
      <c r="D1366" s="67"/>
      <c r="E1366" s="26"/>
      <c r="F1366" s="26"/>
      <c r="G1366" s="26"/>
      <c r="H1366" s="26"/>
      <c r="I1366" s="26"/>
      <c r="J1366" s="26"/>
      <c r="K1366" s="26"/>
      <c r="L1366" s="26"/>
      <c r="M1366" s="26"/>
      <c r="N1366" s="26"/>
      <c r="O1366" s="26"/>
      <c r="P1366" s="26"/>
      <c r="Q1366" s="26"/>
      <c r="R1366" s="26"/>
      <c r="S1366" s="26"/>
      <c r="T1366" s="26"/>
      <c r="U1366" s="26"/>
      <c r="V1366" s="26"/>
      <c r="W1366" s="26"/>
      <c r="X1366" s="26"/>
      <c r="Y1366" s="26"/>
      <c r="Z1366" s="26"/>
      <c r="AA1366" s="26"/>
      <c r="AB1366" s="26"/>
      <c r="AC1366" s="26"/>
      <c r="AD1366" s="26"/>
      <c r="AE1366" s="26"/>
      <c r="AF1366" s="26"/>
      <c r="AG1366" s="26"/>
      <c r="AH1366" s="26"/>
      <c r="AI1366" s="26"/>
      <c r="AJ1366" s="26"/>
      <c r="AK1366" s="26"/>
      <c r="AL1366" s="26"/>
      <c r="AM1366" s="26"/>
      <c r="AN1366" s="26"/>
      <c r="AO1366" s="26"/>
      <c r="AP1366" s="26"/>
      <c r="AQ1366" s="26"/>
      <c r="AR1366" s="26"/>
      <c r="AS1366" s="26"/>
      <c r="AT1366" s="26"/>
      <c r="AU1366" s="26"/>
      <c r="AV1366" s="26"/>
      <c r="AW1366" s="26"/>
      <c r="AX1366" s="26"/>
      <c r="AY1366" s="26"/>
    </row>
    <row r="1367" spans="1:51" ht="12.75" customHeight="1">
      <c r="A1367" s="26"/>
      <c r="B1367" s="66"/>
      <c r="C1367" s="67"/>
      <c r="D1367" s="67"/>
      <c r="E1367" s="26"/>
      <c r="F1367" s="26"/>
      <c r="G1367" s="26"/>
      <c r="H1367" s="26"/>
      <c r="I1367" s="26"/>
      <c r="J1367" s="26"/>
      <c r="K1367" s="26"/>
      <c r="L1367" s="26"/>
      <c r="M1367" s="26"/>
      <c r="N1367" s="26"/>
      <c r="O1367" s="26"/>
      <c r="P1367" s="26"/>
      <c r="Q1367" s="26"/>
      <c r="R1367" s="26"/>
      <c r="S1367" s="26"/>
      <c r="T1367" s="26"/>
      <c r="U1367" s="26"/>
      <c r="V1367" s="26"/>
      <c r="W1367" s="26"/>
      <c r="X1367" s="26"/>
      <c r="Y1367" s="26"/>
      <c r="Z1367" s="26"/>
      <c r="AA1367" s="26"/>
      <c r="AB1367" s="26"/>
      <c r="AC1367" s="26"/>
      <c r="AD1367" s="26"/>
      <c r="AE1367" s="26"/>
      <c r="AF1367" s="26"/>
      <c r="AG1367" s="26"/>
      <c r="AH1367" s="26"/>
      <c r="AI1367" s="26"/>
      <c r="AJ1367" s="26"/>
      <c r="AK1367" s="26"/>
      <c r="AL1367" s="26"/>
      <c r="AM1367" s="26"/>
      <c r="AN1367" s="26"/>
      <c r="AO1367" s="26"/>
      <c r="AP1367" s="26"/>
      <c r="AQ1367" s="26"/>
      <c r="AR1367" s="26"/>
      <c r="AS1367" s="26"/>
      <c r="AT1367" s="26"/>
      <c r="AU1367" s="26"/>
      <c r="AV1367" s="26"/>
      <c r="AW1367" s="26"/>
      <c r="AX1367" s="26"/>
      <c r="AY1367" s="26"/>
    </row>
    <row r="1368" spans="1:51" ht="12.75" customHeight="1">
      <c r="A1368" s="26"/>
      <c r="B1368" s="66"/>
      <c r="C1368" s="67"/>
      <c r="D1368" s="67"/>
      <c r="E1368" s="26"/>
      <c r="F1368" s="26"/>
      <c r="G1368" s="26"/>
      <c r="H1368" s="26"/>
      <c r="I1368" s="26"/>
      <c r="J1368" s="26"/>
      <c r="K1368" s="26"/>
      <c r="L1368" s="26"/>
      <c r="M1368" s="26"/>
      <c r="N1368" s="26"/>
      <c r="O1368" s="26"/>
      <c r="P1368" s="26"/>
      <c r="Q1368" s="26"/>
      <c r="R1368" s="26"/>
      <c r="S1368" s="26"/>
      <c r="T1368" s="26"/>
      <c r="U1368" s="26"/>
      <c r="V1368" s="26"/>
      <c r="W1368" s="26"/>
      <c r="X1368" s="26"/>
      <c r="Y1368" s="26"/>
      <c r="Z1368" s="26"/>
      <c r="AA1368" s="26"/>
      <c r="AB1368" s="26"/>
      <c r="AC1368" s="26"/>
      <c r="AD1368" s="26"/>
      <c r="AE1368" s="26"/>
      <c r="AF1368" s="26"/>
      <c r="AG1368" s="26"/>
      <c r="AH1368" s="26"/>
      <c r="AI1368" s="26"/>
      <c r="AJ1368" s="26"/>
      <c r="AK1368" s="26"/>
      <c r="AL1368" s="26"/>
      <c r="AM1368" s="26"/>
      <c r="AN1368" s="26"/>
      <c r="AO1368" s="26"/>
      <c r="AP1368" s="26"/>
      <c r="AQ1368" s="26"/>
      <c r="AR1368" s="26"/>
      <c r="AS1368" s="26"/>
      <c r="AT1368" s="26"/>
      <c r="AU1368" s="26"/>
      <c r="AV1368" s="26"/>
      <c r="AW1368" s="26"/>
      <c r="AX1368" s="26"/>
      <c r="AY1368" s="26"/>
    </row>
    <row r="1369" spans="1:51" ht="12.75" customHeight="1">
      <c r="A1369" s="26"/>
      <c r="B1369" s="66"/>
      <c r="C1369" s="67"/>
      <c r="D1369" s="67"/>
      <c r="E1369" s="26"/>
      <c r="F1369" s="26"/>
      <c r="G1369" s="26"/>
      <c r="H1369" s="26"/>
      <c r="I1369" s="26"/>
      <c r="J1369" s="26"/>
      <c r="K1369" s="26"/>
      <c r="L1369" s="26"/>
      <c r="M1369" s="26"/>
      <c r="N1369" s="26"/>
      <c r="O1369" s="26"/>
      <c r="P1369" s="26"/>
      <c r="Q1369" s="26"/>
      <c r="R1369" s="26"/>
      <c r="S1369" s="26"/>
      <c r="T1369" s="26"/>
      <c r="U1369" s="26"/>
      <c r="V1369" s="26"/>
      <c r="W1369" s="26"/>
      <c r="X1369" s="26"/>
      <c r="Y1369" s="26"/>
      <c r="Z1369" s="26"/>
      <c r="AA1369" s="26"/>
      <c r="AB1369" s="26"/>
      <c r="AC1369" s="26"/>
      <c r="AD1369" s="26"/>
      <c r="AE1369" s="26"/>
      <c r="AF1369" s="26"/>
      <c r="AG1369" s="26"/>
      <c r="AH1369" s="26"/>
      <c r="AI1369" s="26"/>
      <c r="AJ1369" s="26"/>
      <c r="AK1369" s="26"/>
      <c r="AL1369" s="26"/>
      <c r="AM1369" s="26"/>
      <c r="AN1369" s="26"/>
      <c r="AO1369" s="26"/>
      <c r="AP1369" s="26"/>
      <c r="AQ1369" s="26"/>
      <c r="AR1369" s="26"/>
      <c r="AS1369" s="26"/>
      <c r="AT1369" s="26"/>
      <c r="AU1369" s="26"/>
      <c r="AV1369" s="26"/>
      <c r="AW1369" s="26"/>
      <c r="AX1369" s="26"/>
      <c r="AY1369" s="26"/>
    </row>
    <row r="1370" spans="1:51" ht="12.75" customHeight="1">
      <c r="A1370" s="26"/>
      <c r="B1370" s="66"/>
      <c r="C1370" s="67"/>
      <c r="D1370" s="67"/>
      <c r="E1370" s="26"/>
      <c r="F1370" s="26"/>
      <c r="G1370" s="26"/>
      <c r="H1370" s="26"/>
      <c r="I1370" s="26"/>
      <c r="J1370" s="26"/>
      <c r="K1370" s="26"/>
      <c r="L1370" s="26"/>
      <c r="M1370" s="26"/>
      <c r="N1370" s="26"/>
      <c r="O1370" s="26"/>
      <c r="P1370" s="26"/>
      <c r="Q1370" s="26"/>
      <c r="R1370" s="26"/>
      <c r="S1370" s="26"/>
      <c r="T1370" s="26"/>
      <c r="U1370" s="26"/>
      <c r="V1370" s="26"/>
      <c r="W1370" s="26"/>
      <c r="X1370" s="26"/>
      <c r="Y1370" s="26"/>
      <c r="Z1370" s="26"/>
      <c r="AA1370" s="26"/>
      <c r="AB1370" s="26"/>
      <c r="AC1370" s="26"/>
      <c r="AD1370" s="26"/>
      <c r="AE1370" s="26"/>
      <c r="AF1370" s="26"/>
      <c r="AG1370" s="26"/>
      <c r="AH1370" s="26"/>
      <c r="AI1370" s="26"/>
      <c r="AJ1370" s="26"/>
      <c r="AK1370" s="26"/>
      <c r="AL1370" s="26"/>
      <c r="AM1370" s="26"/>
      <c r="AN1370" s="26"/>
      <c r="AO1370" s="26"/>
      <c r="AP1370" s="26"/>
      <c r="AQ1370" s="26"/>
      <c r="AR1370" s="26"/>
      <c r="AS1370" s="26"/>
      <c r="AT1370" s="26"/>
      <c r="AU1370" s="26"/>
      <c r="AV1370" s="26"/>
      <c r="AW1370" s="26"/>
      <c r="AX1370" s="26"/>
      <c r="AY1370" s="26"/>
    </row>
    <row r="1371" spans="1:51" ht="12.75" customHeight="1">
      <c r="A1371" s="26"/>
      <c r="B1371" s="66"/>
      <c r="C1371" s="67"/>
      <c r="D1371" s="67"/>
      <c r="E1371" s="26"/>
      <c r="F1371" s="26"/>
      <c r="G1371" s="26"/>
      <c r="H1371" s="26"/>
      <c r="I1371" s="26"/>
      <c r="J1371" s="26"/>
      <c r="K1371" s="26"/>
      <c r="L1371" s="26"/>
      <c r="M1371" s="26"/>
      <c r="N1371" s="26"/>
      <c r="O1371" s="26"/>
      <c r="P1371" s="26"/>
      <c r="Q1371" s="26"/>
      <c r="R1371" s="26"/>
      <c r="S1371" s="26"/>
      <c r="T1371" s="26"/>
      <c r="U1371" s="26"/>
      <c r="V1371" s="26"/>
      <c r="W1371" s="26"/>
      <c r="X1371" s="26"/>
      <c r="Y1371" s="26"/>
      <c r="Z1371" s="26"/>
      <c r="AA1371" s="26"/>
      <c r="AB1371" s="26"/>
      <c r="AC1371" s="26"/>
      <c r="AD1371" s="26"/>
      <c r="AE1371" s="26"/>
      <c r="AF1371" s="26"/>
      <c r="AG1371" s="26"/>
      <c r="AH1371" s="26"/>
      <c r="AI1371" s="26"/>
      <c r="AJ1371" s="26"/>
      <c r="AK1371" s="26"/>
      <c r="AL1371" s="26"/>
      <c r="AM1371" s="26"/>
      <c r="AN1371" s="26"/>
      <c r="AO1371" s="26"/>
      <c r="AP1371" s="26"/>
      <c r="AQ1371" s="26"/>
      <c r="AR1371" s="26"/>
      <c r="AS1371" s="26"/>
      <c r="AT1371" s="26"/>
      <c r="AU1371" s="26"/>
      <c r="AV1371" s="26"/>
      <c r="AW1371" s="26"/>
      <c r="AX1371" s="26"/>
      <c r="AY1371" s="26"/>
    </row>
    <row r="1372" spans="1:51" ht="12.75" customHeight="1">
      <c r="A1372" s="26"/>
      <c r="B1372" s="66"/>
      <c r="C1372" s="67"/>
      <c r="D1372" s="67"/>
      <c r="E1372" s="26"/>
      <c r="F1372" s="26"/>
      <c r="G1372" s="26"/>
      <c r="H1372" s="26"/>
      <c r="I1372" s="26"/>
      <c r="J1372" s="26"/>
      <c r="K1372" s="26"/>
      <c r="L1372" s="26"/>
      <c r="M1372" s="26"/>
      <c r="N1372" s="26"/>
      <c r="O1372" s="26"/>
      <c r="P1372" s="26"/>
      <c r="Q1372" s="26"/>
      <c r="R1372" s="26"/>
      <c r="S1372" s="26"/>
      <c r="T1372" s="26"/>
      <c r="U1372" s="26"/>
      <c r="V1372" s="26"/>
      <c r="W1372" s="26"/>
      <c r="X1372" s="26"/>
      <c r="Y1372" s="26"/>
      <c r="Z1372" s="26"/>
      <c r="AA1372" s="26"/>
      <c r="AB1372" s="26"/>
      <c r="AC1372" s="26"/>
      <c r="AD1372" s="26"/>
      <c r="AE1372" s="26"/>
      <c r="AF1372" s="26"/>
      <c r="AG1372" s="26"/>
      <c r="AH1372" s="26"/>
      <c r="AI1372" s="26"/>
      <c r="AJ1372" s="26"/>
      <c r="AK1372" s="26"/>
      <c r="AL1372" s="26"/>
      <c r="AM1372" s="26"/>
      <c r="AN1372" s="26"/>
      <c r="AO1372" s="26"/>
      <c r="AP1372" s="26"/>
      <c r="AQ1372" s="26"/>
      <c r="AR1372" s="26"/>
      <c r="AS1372" s="26"/>
      <c r="AT1372" s="26"/>
      <c r="AU1372" s="26"/>
      <c r="AV1372" s="26"/>
      <c r="AW1372" s="26"/>
      <c r="AX1372" s="26"/>
      <c r="AY1372" s="26"/>
    </row>
    <row r="1373" spans="1:51" ht="12.75" customHeight="1">
      <c r="A1373" s="26"/>
      <c r="B1373" s="66"/>
      <c r="C1373" s="67"/>
      <c r="D1373" s="67"/>
      <c r="E1373" s="26"/>
      <c r="F1373" s="26"/>
      <c r="G1373" s="26"/>
      <c r="H1373" s="26"/>
      <c r="I1373" s="26"/>
      <c r="J1373" s="26"/>
      <c r="K1373" s="26"/>
      <c r="L1373" s="26"/>
      <c r="M1373" s="26"/>
      <c r="N1373" s="26"/>
      <c r="O1373" s="26"/>
      <c r="P1373" s="26"/>
      <c r="Q1373" s="26"/>
      <c r="R1373" s="26"/>
      <c r="S1373" s="26"/>
      <c r="T1373" s="26"/>
      <c r="U1373" s="26"/>
      <c r="V1373" s="26"/>
      <c r="W1373" s="26"/>
      <c r="X1373" s="26"/>
      <c r="Y1373" s="26"/>
      <c r="Z1373" s="26"/>
      <c r="AA1373" s="26"/>
      <c r="AB1373" s="26"/>
      <c r="AC1373" s="26"/>
      <c r="AD1373" s="26"/>
      <c r="AE1373" s="26"/>
      <c r="AF1373" s="26"/>
      <c r="AG1373" s="26"/>
      <c r="AH1373" s="26"/>
      <c r="AI1373" s="26"/>
      <c r="AJ1373" s="26"/>
      <c r="AK1373" s="26"/>
      <c r="AL1373" s="26"/>
      <c r="AM1373" s="26"/>
      <c r="AN1373" s="26"/>
      <c r="AO1373" s="26"/>
      <c r="AP1373" s="26"/>
      <c r="AQ1373" s="26"/>
      <c r="AR1373" s="26"/>
      <c r="AS1373" s="26"/>
      <c r="AT1373" s="26"/>
      <c r="AU1373" s="26"/>
      <c r="AV1373" s="26"/>
      <c r="AW1373" s="26"/>
      <c r="AX1373" s="26"/>
      <c r="AY1373" s="26"/>
    </row>
    <row r="1374" spans="1:51" ht="12.75" customHeight="1">
      <c r="A1374" s="26"/>
      <c r="B1374" s="66"/>
      <c r="C1374" s="67"/>
      <c r="D1374" s="67"/>
      <c r="E1374" s="26"/>
      <c r="F1374" s="26"/>
      <c r="G1374" s="26"/>
      <c r="H1374" s="26"/>
      <c r="I1374" s="26"/>
      <c r="J1374" s="26"/>
      <c r="K1374" s="26"/>
      <c r="L1374" s="26"/>
      <c r="M1374" s="26"/>
      <c r="N1374" s="26"/>
      <c r="O1374" s="26"/>
      <c r="P1374" s="26"/>
      <c r="Q1374" s="26"/>
      <c r="R1374" s="26"/>
      <c r="S1374" s="26"/>
      <c r="T1374" s="26"/>
      <c r="U1374" s="26"/>
      <c r="V1374" s="26"/>
      <c r="W1374" s="26"/>
      <c r="X1374" s="26"/>
      <c r="Y1374" s="26"/>
      <c r="Z1374" s="26"/>
      <c r="AA1374" s="26"/>
      <c r="AB1374" s="26"/>
      <c r="AC1374" s="26"/>
      <c r="AD1374" s="26"/>
      <c r="AE1374" s="26"/>
      <c r="AF1374" s="26"/>
      <c r="AG1374" s="26"/>
      <c r="AH1374" s="26"/>
      <c r="AI1374" s="26"/>
      <c r="AJ1374" s="26"/>
      <c r="AK1374" s="26"/>
      <c r="AL1374" s="26"/>
      <c r="AM1374" s="26"/>
      <c r="AN1374" s="26"/>
      <c r="AO1374" s="26"/>
      <c r="AP1374" s="26"/>
      <c r="AQ1374" s="26"/>
      <c r="AR1374" s="26"/>
      <c r="AS1374" s="26"/>
      <c r="AT1374" s="26"/>
      <c r="AU1374" s="26"/>
      <c r="AV1374" s="26"/>
      <c r="AW1374" s="26"/>
      <c r="AX1374" s="26"/>
      <c r="AY1374" s="26"/>
    </row>
    <row r="1375" spans="1:51" ht="12.75" customHeight="1">
      <c r="A1375" s="26"/>
      <c r="B1375" s="66"/>
      <c r="C1375" s="67"/>
      <c r="D1375" s="67"/>
      <c r="E1375" s="26"/>
      <c r="F1375" s="26"/>
      <c r="G1375" s="26"/>
      <c r="H1375" s="26"/>
      <c r="I1375" s="26"/>
      <c r="J1375" s="26"/>
      <c r="K1375" s="26"/>
      <c r="L1375" s="26"/>
      <c r="M1375" s="26"/>
      <c r="N1375" s="26"/>
      <c r="O1375" s="26"/>
      <c r="P1375" s="26"/>
      <c r="Q1375" s="26"/>
      <c r="R1375" s="26"/>
      <c r="S1375" s="26"/>
      <c r="T1375" s="26"/>
      <c r="U1375" s="26"/>
      <c r="V1375" s="26"/>
      <c r="W1375" s="26"/>
      <c r="X1375" s="26"/>
      <c r="Y1375" s="26"/>
      <c r="Z1375" s="26"/>
      <c r="AA1375" s="26"/>
      <c r="AB1375" s="26"/>
      <c r="AC1375" s="26"/>
      <c r="AD1375" s="26"/>
      <c r="AE1375" s="26"/>
      <c r="AF1375" s="26"/>
      <c r="AG1375" s="26"/>
      <c r="AH1375" s="26"/>
      <c r="AI1375" s="26"/>
      <c r="AJ1375" s="26"/>
      <c r="AK1375" s="26"/>
      <c r="AL1375" s="26"/>
      <c r="AM1375" s="26"/>
      <c r="AN1375" s="26"/>
      <c r="AO1375" s="26"/>
      <c r="AP1375" s="26"/>
      <c r="AQ1375" s="26"/>
      <c r="AR1375" s="26"/>
      <c r="AS1375" s="26"/>
      <c r="AT1375" s="26"/>
      <c r="AU1375" s="26"/>
      <c r="AV1375" s="26"/>
      <c r="AW1375" s="26"/>
      <c r="AX1375" s="26"/>
      <c r="AY1375" s="26"/>
    </row>
    <row r="1376" spans="1:51" ht="12.75" customHeight="1">
      <c r="A1376" s="26"/>
      <c r="B1376" s="66"/>
      <c r="C1376" s="67"/>
      <c r="D1376" s="67"/>
      <c r="E1376" s="26"/>
      <c r="F1376" s="26"/>
      <c r="G1376" s="26"/>
      <c r="H1376" s="26"/>
      <c r="I1376" s="26"/>
      <c r="J1376" s="26"/>
      <c r="K1376" s="26"/>
      <c r="L1376" s="26"/>
      <c r="M1376" s="26"/>
      <c r="N1376" s="26"/>
      <c r="O1376" s="26"/>
      <c r="P1376" s="26"/>
      <c r="Q1376" s="26"/>
      <c r="R1376" s="26"/>
      <c r="S1376" s="26"/>
      <c r="T1376" s="26"/>
      <c r="U1376" s="26"/>
      <c r="V1376" s="26"/>
      <c r="W1376" s="26"/>
      <c r="X1376" s="26"/>
      <c r="Y1376" s="26"/>
      <c r="Z1376" s="26"/>
      <c r="AA1376" s="26"/>
      <c r="AB1376" s="26"/>
      <c r="AC1376" s="26"/>
      <c r="AD1376" s="26"/>
      <c r="AE1376" s="26"/>
      <c r="AF1376" s="26"/>
      <c r="AG1376" s="26"/>
      <c r="AH1376" s="26"/>
      <c r="AI1376" s="26"/>
      <c r="AJ1376" s="26"/>
      <c r="AK1376" s="26"/>
      <c r="AL1376" s="26"/>
      <c r="AM1376" s="26"/>
      <c r="AN1376" s="26"/>
      <c r="AO1376" s="26"/>
      <c r="AP1376" s="26"/>
      <c r="AQ1376" s="26"/>
      <c r="AR1376" s="26"/>
      <c r="AS1376" s="26"/>
      <c r="AT1376" s="26"/>
      <c r="AU1376" s="26"/>
      <c r="AV1376" s="26"/>
      <c r="AW1376" s="26"/>
      <c r="AX1376" s="26"/>
      <c r="AY1376" s="26"/>
    </row>
    <row r="1377" spans="1:51" ht="12.75" customHeight="1">
      <c r="A1377" s="26"/>
      <c r="B1377" s="66"/>
      <c r="C1377" s="67"/>
      <c r="D1377" s="67"/>
      <c r="E1377" s="26"/>
      <c r="F1377" s="26"/>
      <c r="G1377" s="26"/>
      <c r="H1377" s="26"/>
      <c r="I1377" s="26"/>
      <c r="J1377" s="26"/>
      <c r="K1377" s="26"/>
      <c r="L1377" s="26"/>
      <c r="M1377" s="26"/>
      <c r="N1377" s="26"/>
      <c r="O1377" s="26"/>
      <c r="P1377" s="26"/>
      <c r="Q1377" s="26"/>
      <c r="R1377" s="26"/>
      <c r="S1377" s="26"/>
      <c r="T1377" s="26"/>
      <c r="U1377" s="26"/>
      <c r="V1377" s="26"/>
      <c r="W1377" s="26"/>
      <c r="X1377" s="26"/>
      <c r="Y1377" s="26"/>
      <c r="Z1377" s="26"/>
      <c r="AA1377" s="26"/>
      <c r="AB1377" s="26"/>
      <c r="AC1377" s="26"/>
      <c r="AD1377" s="26"/>
      <c r="AE1377" s="26"/>
      <c r="AF1377" s="26"/>
      <c r="AG1377" s="26"/>
      <c r="AH1377" s="26"/>
      <c r="AI1377" s="26"/>
      <c r="AJ1377" s="26"/>
      <c r="AK1377" s="26"/>
      <c r="AL1377" s="26"/>
      <c r="AM1377" s="26"/>
      <c r="AN1377" s="26"/>
      <c r="AO1377" s="26"/>
      <c r="AP1377" s="26"/>
      <c r="AQ1377" s="26"/>
      <c r="AR1377" s="26"/>
      <c r="AS1377" s="26"/>
      <c r="AT1377" s="26"/>
      <c r="AU1377" s="26"/>
      <c r="AV1377" s="26"/>
      <c r="AW1377" s="26"/>
      <c r="AX1377" s="26"/>
      <c r="AY1377" s="26"/>
    </row>
    <row r="1378" spans="1:51" ht="12.75" customHeight="1">
      <c r="A1378" s="26"/>
      <c r="B1378" s="66"/>
      <c r="C1378" s="67"/>
      <c r="D1378" s="67"/>
      <c r="E1378" s="26"/>
      <c r="F1378" s="26"/>
      <c r="G1378" s="26"/>
      <c r="H1378" s="26"/>
      <c r="I1378" s="26"/>
      <c r="J1378" s="26"/>
      <c r="K1378" s="26"/>
      <c r="L1378" s="26"/>
      <c r="M1378" s="26"/>
      <c r="N1378" s="26"/>
      <c r="O1378" s="26"/>
      <c r="P1378" s="26"/>
      <c r="Q1378" s="26"/>
      <c r="R1378" s="26"/>
      <c r="S1378" s="38"/>
      <c r="T1378" s="26"/>
      <c r="U1378" s="26"/>
      <c r="V1378" s="26"/>
      <c r="W1378" s="26"/>
      <c r="X1378" s="26"/>
      <c r="Y1378" s="26"/>
      <c r="Z1378" s="26"/>
      <c r="AA1378" s="26"/>
      <c r="AB1378" s="26"/>
      <c r="AC1378" s="26"/>
      <c r="AD1378" s="26"/>
      <c r="AE1378" s="26"/>
      <c r="AF1378" s="26"/>
      <c r="AG1378" s="26"/>
      <c r="AH1378" s="26"/>
      <c r="AI1378" s="26"/>
      <c r="AJ1378" s="26"/>
      <c r="AK1378" s="26"/>
      <c r="AL1378" s="26"/>
      <c r="AM1378" s="26"/>
      <c r="AN1378" s="26"/>
      <c r="AO1378" s="26"/>
      <c r="AP1378" s="26"/>
      <c r="AQ1378" s="26"/>
      <c r="AR1378" s="26"/>
      <c r="AS1378" s="26"/>
      <c r="AT1378" s="26"/>
      <c r="AU1378" s="26"/>
      <c r="AV1378" s="26"/>
      <c r="AW1378" s="26"/>
      <c r="AX1378" s="26"/>
      <c r="AY1378" s="26"/>
    </row>
    <row r="1379" spans="1:51" ht="12.75" customHeight="1">
      <c r="A1379" s="26"/>
      <c r="B1379" s="66"/>
      <c r="C1379" s="67"/>
      <c r="D1379" s="67"/>
      <c r="E1379" s="26"/>
      <c r="F1379" s="26"/>
      <c r="G1379" s="26"/>
      <c r="H1379" s="26"/>
      <c r="I1379" s="26"/>
      <c r="J1379" s="26"/>
      <c r="K1379" s="26"/>
      <c r="L1379" s="26"/>
      <c r="M1379" s="26"/>
      <c r="N1379" s="26"/>
      <c r="O1379" s="26"/>
      <c r="P1379" s="26"/>
      <c r="Q1379" s="26"/>
      <c r="R1379" s="26"/>
      <c r="S1379" s="26"/>
      <c r="T1379" s="26"/>
      <c r="U1379" s="26"/>
      <c r="V1379" s="26"/>
      <c r="W1379" s="26"/>
      <c r="X1379" s="26"/>
      <c r="Y1379" s="26"/>
      <c r="Z1379" s="26"/>
      <c r="AA1379" s="26"/>
      <c r="AB1379" s="26"/>
      <c r="AC1379" s="26"/>
      <c r="AD1379" s="26"/>
      <c r="AE1379" s="26"/>
      <c r="AF1379" s="26"/>
      <c r="AG1379" s="26"/>
      <c r="AH1379" s="26"/>
      <c r="AI1379" s="26"/>
      <c r="AJ1379" s="26"/>
      <c r="AK1379" s="26"/>
      <c r="AL1379" s="26"/>
      <c r="AM1379" s="26"/>
      <c r="AN1379" s="26"/>
      <c r="AO1379" s="26"/>
      <c r="AP1379" s="26"/>
      <c r="AQ1379" s="26"/>
      <c r="AR1379" s="26"/>
      <c r="AS1379" s="26"/>
      <c r="AT1379" s="26"/>
      <c r="AU1379" s="26"/>
      <c r="AV1379" s="26"/>
      <c r="AW1379" s="26"/>
      <c r="AX1379" s="26"/>
      <c r="AY1379" s="26"/>
    </row>
    <row r="1380" spans="1:51" ht="12.75" customHeight="1">
      <c r="A1380" s="26"/>
      <c r="B1380" s="66"/>
      <c r="C1380" s="67"/>
      <c r="D1380" s="67"/>
      <c r="E1380" s="26"/>
      <c r="F1380" s="26"/>
      <c r="G1380" s="26"/>
      <c r="H1380" s="26"/>
      <c r="I1380" s="26"/>
      <c r="J1380" s="26"/>
      <c r="K1380" s="26"/>
      <c r="L1380" s="26"/>
      <c r="M1380" s="26"/>
      <c r="N1380" s="26"/>
      <c r="O1380" s="26"/>
      <c r="P1380" s="26"/>
      <c r="Q1380" s="26"/>
      <c r="R1380" s="26"/>
      <c r="S1380" s="26"/>
      <c r="T1380" s="26"/>
      <c r="U1380" s="26"/>
      <c r="V1380" s="26"/>
      <c r="W1380" s="26"/>
      <c r="X1380" s="26"/>
      <c r="Y1380" s="26"/>
      <c r="Z1380" s="26"/>
      <c r="AA1380" s="26"/>
      <c r="AB1380" s="26"/>
      <c r="AC1380" s="26"/>
      <c r="AD1380" s="26"/>
      <c r="AE1380" s="26"/>
      <c r="AF1380" s="26"/>
      <c r="AG1380" s="26"/>
      <c r="AH1380" s="26"/>
      <c r="AI1380" s="26"/>
      <c r="AJ1380" s="26"/>
      <c r="AK1380" s="26"/>
      <c r="AL1380" s="26"/>
      <c r="AM1380" s="26"/>
      <c r="AN1380" s="26"/>
      <c r="AO1380" s="26"/>
      <c r="AP1380" s="26"/>
      <c r="AQ1380" s="26"/>
      <c r="AR1380" s="26"/>
      <c r="AS1380" s="26"/>
      <c r="AT1380" s="26"/>
      <c r="AU1380" s="26"/>
      <c r="AV1380" s="26"/>
      <c r="AW1380" s="26"/>
      <c r="AX1380" s="26"/>
      <c r="AY1380" s="26"/>
    </row>
    <row r="1381" spans="1:51" ht="12.75" customHeight="1">
      <c r="A1381" s="26"/>
      <c r="B1381" s="66"/>
      <c r="C1381" s="67"/>
      <c r="D1381" s="67"/>
      <c r="E1381" s="26"/>
      <c r="F1381" s="26"/>
      <c r="G1381" s="26"/>
      <c r="H1381" s="26"/>
      <c r="I1381" s="26"/>
      <c r="J1381" s="26"/>
      <c r="K1381" s="26"/>
      <c r="L1381" s="26"/>
      <c r="M1381" s="26"/>
      <c r="N1381" s="26"/>
      <c r="O1381" s="26"/>
      <c r="P1381" s="26"/>
      <c r="Q1381" s="26"/>
      <c r="R1381" s="26"/>
      <c r="S1381" s="26"/>
      <c r="T1381" s="26"/>
      <c r="U1381" s="26"/>
      <c r="V1381" s="26"/>
      <c r="W1381" s="26"/>
      <c r="X1381" s="26"/>
      <c r="Y1381" s="26"/>
      <c r="Z1381" s="26"/>
      <c r="AA1381" s="26"/>
      <c r="AB1381" s="26"/>
      <c r="AC1381" s="26"/>
      <c r="AD1381" s="26"/>
      <c r="AE1381" s="26"/>
      <c r="AF1381" s="26"/>
      <c r="AG1381" s="26"/>
      <c r="AH1381" s="26"/>
      <c r="AI1381" s="26"/>
      <c r="AJ1381" s="26"/>
      <c r="AK1381" s="26"/>
      <c r="AL1381" s="26"/>
      <c r="AM1381" s="26"/>
      <c r="AN1381" s="26"/>
      <c r="AO1381" s="26"/>
      <c r="AP1381" s="26"/>
      <c r="AQ1381" s="26"/>
      <c r="AR1381" s="26"/>
      <c r="AS1381" s="26"/>
      <c r="AT1381" s="26"/>
      <c r="AU1381" s="26"/>
      <c r="AV1381" s="26"/>
      <c r="AW1381" s="26"/>
      <c r="AX1381" s="26"/>
      <c r="AY1381" s="26"/>
    </row>
    <row r="1382" spans="1:51" ht="12.75" customHeight="1">
      <c r="A1382" s="26"/>
      <c r="B1382" s="66"/>
      <c r="C1382" s="67"/>
      <c r="D1382" s="67"/>
      <c r="E1382" s="26"/>
      <c r="F1382" s="26"/>
      <c r="G1382" s="26"/>
      <c r="H1382" s="26"/>
      <c r="I1382" s="26"/>
      <c r="J1382" s="26"/>
      <c r="K1382" s="26"/>
      <c r="L1382" s="26"/>
      <c r="M1382" s="26"/>
      <c r="N1382" s="26"/>
      <c r="O1382" s="26"/>
      <c r="P1382" s="26"/>
      <c r="Q1382" s="26"/>
      <c r="R1382" s="26"/>
      <c r="S1382" s="26"/>
      <c r="T1382" s="26"/>
      <c r="U1382" s="26"/>
      <c r="V1382" s="26"/>
      <c r="W1382" s="26"/>
      <c r="X1382" s="26"/>
      <c r="Y1382" s="26"/>
      <c r="Z1382" s="26"/>
      <c r="AA1382" s="26"/>
      <c r="AB1382" s="26"/>
      <c r="AC1382" s="26"/>
      <c r="AD1382" s="26"/>
      <c r="AE1382" s="26"/>
      <c r="AF1382" s="26"/>
      <c r="AG1382" s="26"/>
      <c r="AH1382" s="26"/>
      <c r="AI1382" s="26"/>
      <c r="AJ1382" s="26"/>
      <c r="AK1382" s="26"/>
      <c r="AL1382" s="26"/>
      <c r="AM1382" s="26"/>
      <c r="AN1382" s="26"/>
      <c r="AO1382" s="26"/>
      <c r="AP1382" s="26"/>
      <c r="AQ1382" s="26"/>
      <c r="AR1382" s="26"/>
      <c r="AS1382" s="26"/>
      <c r="AT1382" s="26"/>
      <c r="AU1382" s="26"/>
      <c r="AV1382" s="26"/>
      <c r="AW1382" s="26"/>
      <c r="AX1382" s="26"/>
      <c r="AY1382" s="26"/>
    </row>
    <row r="1383" spans="1:51" ht="12.75" customHeight="1">
      <c r="A1383" s="26"/>
      <c r="B1383" s="66"/>
      <c r="C1383" s="67"/>
      <c r="D1383" s="67"/>
      <c r="E1383" s="26"/>
      <c r="F1383" s="26"/>
      <c r="G1383" s="26"/>
      <c r="H1383" s="26"/>
      <c r="I1383" s="26"/>
      <c r="J1383" s="26"/>
      <c r="K1383" s="26"/>
      <c r="L1383" s="26"/>
      <c r="M1383" s="26"/>
      <c r="N1383" s="26"/>
      <c r="O1383" s="26"/>
      <c r="P1383" s="26"/>
      <c r="Q1383" s="26"/>
      <c r="R1383" s="26"/>
      <c r="S1383" s="26"/>
      <c r="T1383" s="26"/>
      <c r="U1383" s="26"/>
      <c r="V1383" s="26"/>
      <c r="W1383" s="26"/>
      <c r="X1383" s="26"/>
      <c r="Y1383" s="26"/>
      <c r="Z1383" s="26"/>
      <c r="AA1383" s="26"/>
      <c r="AB1383" s="26"/>
      <c r="AC1383" s="26"/>
      <c r="AD1383" s="26"/>
      <c r="AE1383" s="26"/>
      <c r="AF1383" s="26"/>
      <c r="AG1383" s="26"/>
      <c r="AH1383" s="26"/>
      <c r="AI1383" s="26"/>
      <c r="AJ1383" s="26"/>
      <c r="AK1383" s="26"/>
      <c r="AL1383" s="26"/>
      <c r="AM1383" s="26"/>
      <c r="AN1383" s="26"/>
      <c r="AO1383" s="26"/>
      <c r="AP1383" s="26"/>
      <c r="AQ1383" s="26"/>
      <c r="AR1383" s="26"/>
      <c r="AS1383" s="26"/>
      <c r="AT1383" s="26"/>
      <c r="AU1383" s="26"/>
      <c r="AV1383" s="26"/>
      <c r="AW1383" s="26"/>
      <c r="AX1383" s="26"/>
      <c r="AY1383" s="26"/>
    </row>
    <row r="1384" spans="1:51" ht="12.75" customHeight="1">
      <c r="A1384" s="26"/>
      <c r="B1384" s="66"/>
      <c r="C1384" s="67"/>
      <c r="D1384" s="67"/>
      <c r="E1384" s="26"/>
      <c r="F1384" s="26"/>
      <c r="G1384" s="26"/>
      <c r="H1384" s="26"/>
      <c r="I1384" s="26"/>
      <c r="J1384" s="26"/>
      <c r="K1384" s="26"/>
      <c r="L1384" s="26"/>
      <c r="M1384" s="26"/>
      <c r="N1384" s="26"/>
      <c r="O1384" s="26"/>
      <c r="P1384" s="26"/>
      <c r="Q1384" s="26"/>
      <c r="R1384" s="26"/>
      <c r="S1384" s="26"/>
      <c r="T1384" s="26"/>
      <c r="U1384" s="26"/>
      <c r="V1384" s="26"/>
      <c r="W1384" s="26"/>
      <c r="X1384" s="26"/>
      <c r="Y1384" s="26"/>
      <c r="Z1384" s="26"/>
      <c r="AA1384" s="26"/>
      <c r="AB1384" s="26"/>
      <c r="AC1384" s="26"/>
      <c r="AD1384" s="26"/>
      <c r="AE1384" s="26"/>
      <c r="AF1384" s="26"/>
      <c r="AG1384" s="26"/>
      <c r="AH1384" s="26"/>
      <c r="AI1384" s="26"/>
      <c r="AJ1384" s="26"/>
      <c r="AK1384" s="26"/>
      <c r="AL1384" s="26"/>
      <c r="AM1384" s="26"/>
      <c r="AN1384" s="26"/>
      <c r="AO1384" s="26"/>
      <c r="AP1384" s="26"/>
      <c r="AQ1384" s="26"/>
      <c r="AR1384" s="26"/>
      <c r="AS1384" s="26"/>
      <c r="AT1384" s="26"/>
      <c r="AU1384" s="26"/>
      <c r="AV1384" s="26"/>
      <c r="AW1384" s="26"/>
      <c r="AX1384" s="26"/>
      <c r="AY1384" s="26"/>
    </row>
    <row r="1385" spans="1:51" ht="12.75" customHeight="1">
      <c r="A1385" s="26"/>
      <c r="B1385" s="66"/>
      <c r="C1385" s="67"/>
      <c r="D1385" s="67"/>
      <c r="E1385" s="26"/>
      <c r="F1385" s="26"/>
      <c r="G1385" s="26"/>
      <c r="H1385" s="26"/>
      <c r="I1385" s="26"/>
      <c r="J1385" s="26"/>
      <c r="K1385" s="26"/>
      <c r="L1385" s="26"/>
      <c r="M1385" s="26"/>
      <c r="N1385" s="26"/>
      <c r="O1385" s="26"/>
      <c r="P1385" s="26"/>
      <c r="Q1385" s="26"/>
      <c r="R1385" s="26"/>
      <c r="S1385" s="26"/>
      <c r="T1385" s="26"/>
      <c r="U1385" s="26"/>
      <c r="V1385" s="26"/>
      <c r="W1385" s="26"/>
      <c r="X1385" s="26"/>
      <c r="Y1385" s="26"/>
      <c r="Z1385" s="26"/>
      <c r="AA1385" s="26"/>
      <c r="AB1385" s="26"/>
      <c r="AC1385" s="26"/>
      <c r="AD1385" s="26"/>
      <c r="AE1385" s="26"/>
      <c r="AF1385" s="26"/>
      <c r="AG1385" s="26"/>
      <c r="AH1385" s="26"/>
      <c r="AI1385" s="26"/>
      <c r="AJ1385" s="26"/>
      <c r="AK1385" s="26"/>
      <c r="AL1385" s="26"/>
      <c r="AM1385" s="26"/>
      <c r="AN1385" s="26"/>
      <c r="AO1385" s="26"/>
      <c r="AP1385" s="26"/>
      <c r="AQ1385" s="26"/>
      <c r="AR1385" s="26"/>
      <c r="AS1385" s="26"/>
      <c r="AT1385" s="26"/>
      <c r="AU1385" s="26"/>
      <c r="AV1385" s="26"/>
      <c r="AW1385" s="26"/>
      <c r="AX1385" s="26"/>
      <c r="AY1385" s="26"/>
    </row>
    <row r="1386" spans="1:51" ht="12.75" customHeight="1">
      <c r="A1386" s="26"/>
      <c r="B1386" s="66"/>
      <c r="C1386" s="67"/>
      <c r="D1386" s="67"/>
      <c r="E1386" s="26"/>
      <c r="F1386" s="26"/>
      <c r="G1386" s="26"/>
      <c r="H1386" s="26"/>
      <c r="I1386" s="26"/>
      <c r="J1386" s="26"/>
      <c r="K1386" s="26"/>
      <c r="L1386" s="26"/>
      <c r="M1386" s="26"/>
      <c r="N1386" s="26"/>
      <c r="O1386" s="26"/>
      <c r="P1386" s="26"/>
      <c r="Q1386" s="26"/>
      <c r="R1386" s="26"/>
      <c r="S1386" s="26"/>
      <c r="T1386" s="26"/>
      <c r="U1386" s="26"/>
      <c r="V1386" s="26"/>
      <c r="W1386" s="26"/>
      <c r="X1386" s="26"/>
      <c r="Y1386" s="26"/>
      <c r="Z1386" s="26"/>
      <c r="AA1386" s="26"/>
      <c r="AB1386" s="26"/>
      <c r="AC1386" s="26"/>
      <c r="AD1386" s="26"/>
      <c r="AE1386" s="26"/>
      <c r="AF1386" s="26"/>
      <c r="AG1386" s="26"/>
      <c r="AH1386" s="26"/>
      <c r="AI1386" s="26"/>
      <c r="AJ1386" s="26"/>
      <c r="AK1386" s="26"/>
      <c r="AL1386" s="26"/>
      <c r="AM1386" s="26"/>
      <c r="AN1386" s="26"/>
      <c r="AO1386" s="26"/>
      <c r="AP1386" s="26"/>
      <c r="AQ1386" s="26"/>
      <c r="AR1386" s="26"/>
      <c r="AS1386" s="26"/>
      <c r="AT1386" s="26"/>
      <c r="AU1386" s="26"/>
      <c r="AV1386" s="26"/>
      <c r="AW1386" s="26"/>
      <c r="AX1386" s="26"/>
      <c r="AY1386" s="26"/>
    </row>
    <row r="1387" spans="1:51" ht="12.75" customHeight="1">
      <c r="A1387" s="26"/>
      <c r="B1387" s="66"/>
      <c r="C1387" s="67"/>
      <c r="D1387" s="67"/>
      <c r="E1387" s="26"/>
      <c r="F1387" s="26"/>
      <c r="G1387" s="26"/>
      <c r="H1387" s="26"/>
      <c r="I1387" s="26"/>
      <c r="J1387" s="26"/>
      <c r="K1387" s="26"/>
      <c r="L1387" s="26"/>
      <c r="M1387" s="26"/>
      <c r="N1387" s="26"/>
      <c r="O1387" s="26"/>
      <c r="P1387" s="26"/>
      <c r="Q1387" s="26"/>
      <c r="R1387" s="26"/>
      <c r="S1387" s="26"/>
      <c r="T1387" s="26"/>
      <c r="U1387" s="26"/>
      <c r="V1387" s="26"/>
      <c r="W1387" s="26"/>
      <c r="X1387" s="26"/>
      <c r="Y1387" s="26"/>
      <c r="Z1387" s="26"/>
      <c r="AA1387" s="26"/>
      <c r="AB1387" s="26"/>
      <c r="AC1387" s="26"/>
      <c r="AD1387" s="26"/>
      <c r="AE1387" s="26"/>
      <c r="AF1387" s="26"/>
      <c r="AG1387" s="26"/>
      <c r="AH1387" s="26"/>
      <c r="AI1387" s="26"/>
      <c r="AJ1387" s="26"/>
      <c r="AK1387" s="26"/>
      <c r="AL1387" s="26"/>
      <c r="AM1387" s="26"/>
      <c r="AN1387" s="26"/>
      <c r="AO1387" s="26"/>
      <c r="AP1387" s="26"/>
      <c r="AQ1387" s="26"/>
      <c r="AR1387" s="26"/>
      <c r="AS1387" s="26"/>
      <c r="AT1387" s="26"/>
      <c r="AU1387" s="26"/>
      <c r="AV1387" s="26"/>
      <c r="AW1387" s="26"/>
      <c r="AX1387" s="26"/>
      <c r="AY1387" s="26"/>
    </row>
    <row r="1388" spans="1:51" ht="12.75" customHeight="1">
      <c r="A1388" s="26"/>
      <c r="B1388" s="66"/>
      <c r="C1388" s="67"/>
      <c r="D1388" s="67"/>
      <c r="E1388" s="26"/>
      <c r="F1388" s="26"/>
      <c r="G1388" s="26"/>
      <c r="H1388" s="26"/>
      <c r="I1388" s="26"/>
      <c r="J1388" s="26"/>
      <c r="K1388" s="26"/>
      <c r="L1388" s="26"/>
      <c r="M1388" s="26"/>
      <c r="N1388" s="26"/>
      <c r="O1388" s="26"/>
      <c r="P1388" s="26"/>
      <c r="Q1388" s="26"/>
      <c r="R1388" s="26"/>
      <c r="S1388" s="26"/>
      <c r="T1388" s="26"/>
      <c r="U1388" s="26"/>
      <c r="V1388" s="26"/>
      <c r="W1388" s="26"/>
      <c r="X1388" s="26"/>
      <c r="Y1388" s="26"/>
      <c r="Z1388" s="26"/>
      <c r="AA1388" s="26"/>
      <c r="AB1388" s="26"/>
      <c r="AC1388" s="26"/>
      <c r="AD1388" s="26"/>
      <c r="AE1388" s="26"/>
      <c r="AF1388" s="26"/>
      <c r="AG1388" s="26"/>
      <c r="AH1388" s="26"/>
      <c r="AI1388" s="26"/>
      <c r="AJ1388" s="26"/>
      <c r="AK1388" s="26"/>
      <c r="AL1388" s="26"/>
      <c r="AM1388" s="26"/>
      <c r="AN1388" s="26"/>
      <c r="AO1388" s="26"/>
      <c r="AP1388" s="26"/>
      <c r="AQ1388" s="26"/>
      <c r="AR1388" s="26"/>
      <c r="AS1388" s="26"/>
      <c r="AT1388" s="26"/>
      <c r="AU1388" s="26"/>
      <c r="AV1388" s="26"/>
      <c r="AW1388" s="26"/>
      <c r="AX1388" s="26"/>
      <c r="AY1388" s="26"/>
    </row>
    <row r="1389" spans="1:51" ht="12.75" customHeight="1">
      <c r="A1389" s="26"/>
      <c r="B1389" s="66"/>
      <c r="C1389" s="67"/>
      <c r="D1389" s="67"/>
      <c r="E1389" s="26"/>
      <c r="F1389" s="26"/>
      <c r="G1389" s="26"/>
      <c r="H1389" s="26"/>
      <c r="I1389" s="26"/>
      <c r="J1389" s="26"/>
      <c r="K1389" s="26"/>
      <c r="L1389" s="26"/>
      <c r="M1389" s="26"/>
      <c r="N1389" s="26"/>
      <c r="O1389" s="26"/>
      <c r="P1389" s="26"/>
      <c r="Q1389" s="26"/>
      <c r="R1389" s="26"/>
      <c r="S1389" s="26"/>
      <c r="T1389" s="26"/>
      <c r="U1389" s="26"/>
      <c r="V1389" s="26"/>
      <c r="W1389" s="26"/>
      <c r="X1389" s="26"/>
      <c r="Y1389" s="26"/>
      <c r="Z1389" s="26"/>
      <c r="AA1389" s="26"/>
      <c r="AB1389" s="26"/>
      <c r="AC1389" s="26"/>
      <c r="AD1389" s="26"/>
      <c r="AE1389" s="26"/>
      <c r="AF1389" s="26"/>
      <c r="AG1389" s="26"/>
      <c r="AH1389" s="26"/>
      <c r="AI1389" s="26"/>
      <c r="AJ1389" s="26"/>
      <c r="AK1389" s="26"/>
      <c r="AL1389" s="26"/>
      <c r="AM1389" s="26"/>
      <c r="AN1389" s="26"/>
      <c r="AO1389" s="26"/>
      <c r="AP1389" s="26"/>
      <c r="AQ1389" s="26"/>
      <c r="AR1389" s="26"/>
      <c r="AS1389" s="26"/>
      <c r="AT1389" s="26"/>
      <c r="AU1389" s="26"/>
      <c r="AV1389" s="26"/>
      <c r="AW1389" s="26"/>
      <c r="AX1389" s="26"/>
      <c r="AY1389" s="26"/>
    </row>
    <row r="1390" spans="1:51" ht="12.75" customHeight="1">
      <c r="A1390" s="26"/>
      <c r="B1390" s="66"/>
      <c r="C1390" s="67"/>
      <c r="D1390" s="67"/>
      <c r="E1390" s="26"/>
      <c r="F1390" s="26"/>
      <c r="G1390" s="26"/>
      <c r="H1390" s="26"/>
      <c r="I1390" s="26"/>
      <c r="J1390" s="26"/>
      <c r="K1390" s="26"/>
      <c r="L1390" s="26"/>
      <c r="M1390" s="26"/>
      <c r="N1390" s="26"/>
      <c r="O1390" s="26"/>
      <c r="P1390" s="26"/>
      <c r="Q1390" s="26"/>
      <c r="R1390" s="26"/>
      <c r="S1390" s="26"/>
      <c r="T1390" s="26"/>
      <c r="U1390" s="26"/>
      <c r="V1390" s="26"/>
      <c r="W1390" s="26"/>
      <c r="X1390" s="26"/>
      <c r="Y1390" s="26"/>
      <c r="Z1390" s="26"/>
      <c r="AA1390" s="26"/>
      <c r="AB1390" s="26"/>
      <c r="AC1390" s="26"/>
      <c r="AD1390" s="26"/>
      <c r="AE1390" s="26"/>
      <c r="AF1390" s="26"/>
      <c r="AG1390" s="26"/>
      <c r="AH1390" s="26"/>
      <c r="AI1390" s="26"/>
      <c r="AJ1390" s="26"/>
      <c r="AK1390" s="26"/>
      <c r="AL1390" s="26"/>
      <c r="AM1390" s="26"/>
      <c r="AN1390" s="26"/>
      <c r="AO1390" s="26"/>
      <c r="AP1390" s="26"/>
      <c r="AQ1390" s="26"/>
      <c r="AR1390" s="26"/>
      <c r="AS1390" s="26"/>
      <c r="AT1390" s="26"/>
      <c r="AU1390" s="26"/>
      <c r="AV1390" s="26"/>
      <c r="AW1390" s="26"/>
      <c r="AX1390" s="26"/>
      <c r="AY1390" s="26"/>
    </row>
    <row r="1391" spans="1:51" ht="12.75" customHeight="1">
      <c r="A1391" s="26"/>
      <c r="B1391" s="66"/>
      <c r="C1391" s="67"/>
      <c r="D1391" s="67"/>
      <c r="E1391" s="26"/>
      <c r="F1391" s="26"/>
      <c r="G1391" s="26"/>
      <c r="H1391" s="26"/>
      <c r="I1391" s="26"/>
      <c r="J1391" s="26"/>
      <c r="K1391" s="26"/>
      <c r="L1391" s="26"/>
      <c r="M1391" s="26"/>
      <c r="N1391" s="26"/>
      <c r="O1391" s="26"/>
      <c r="P1391" s="26"/>
      <c r="Q1391" s="26"/>
      <c r="R1391" s="26"/>
      <c r="S1391" s="26"/>
      <c r="T1391" s="26"/>
      <c r="U1391" s="26"/>
      <c r="V1391" s="26"/>
      <c r="W1391" s="26"/>
      <c r="X1391" s="26"/>
      <c r="Y1391" s="26"/>
      <c r="Z1391" s="26"/>
      <c r="AA1391" s="26"/>
      <c r="AB1391" s="26"/>
      <c r="AC1391" s="26"/>
      <c r="AD1391" s="26"/>
      <c r="AE1391" s="26"/>
      <c r="AF1391" s="26"/>
      <c r="AG1391" s="26"/>
      <c r="AH1391" s="26"/>
      <c r="AI1391" s="26"/>
      <c r="AJ1391" s="26"/>
      <c r="AK1391" s="26"/>
      <c r="AL1391" s="26"/>
      <c r="AM1391" s="26"/>
      <c r="AN1391" s="26"/>
      <c r="AO1391" s="26"/>
      <c r="AP1391" s="26"/>
      <c r="AQ1391" s="26"/>
      <c r="AR1391" s="26"/>
      <c r="AS1391" s="26"/>
      <c r="AT1391" s="26"/>
      <c r="AU1391" s="26"/>
      <c r="AV1391" s="26"/>
      <c r="AW1391" s="26"/>
      <c r="AX1391" s="26"/>
      <c r="AY1391" s="26"/>
    </row>
    <row r="1392" spans="1:51" ht="12.75" customHeight="1">
      <c r="A1392" s="26"/>
      <c r="B1392" s="66"/>
      <c r="C1392" s="67"/>
      <c r="D1392" s="67"/>
      <c r="E1392" s="26"/>
      <c r="F1392" s="26"/>
      <c r="G1392" s="26"/>
      <c r="H1392" s="26"/>
      <c r="I1392" s="26"/>
      <c r="J1392" s="26"/>
      <c r="K1392" s="26"/>
      <c r="L1392" s="26"/>
      <c r="M1392" s="26"/>
      <c r="N1392" s="26"/>
      <c r="O1392" s="26"/>
      <c r="P1392" s="26"/>
      <c r="Q1392" s="26"/>
      <c r="R1392" s="26"/>
      <c r="S1392" s="26"/>
      <c r="T1392" s="26"/>
      <c r="U1392" s="26"/>
      <c r="V1392" s="26"/>
      <c r="W1392" s="26"/>
      <c r="X1392" s="26"/>
      <c r="Y1392" s="26"/>
      <c r="Z1392" s="26"/>
      <c r="AA1392" s="26"/>
      <c r="AB1392" s="26"/>
      <c r="AC1392" s="26"/>
      <c r="AD1392" s="26"/>
      <c r="AE1392" s="26"/>
      <c r="AF1392" s="26"/>
      <c r="AG1392" s="26"/>
      <c r="AH1392" s="26"/>
      <c r="AI1392" s="26"/>
      <c r="AJ1392" s="26"/>
      <c r="AK1392" s="26"/>
      <c r="AL1392" s="26"/>
      <c r="AM1392" s="26"/>
      <c r="AN1392" s="26"/>
      <c r="AO1392" s="26"/>
      <c r="AP1392" s="26"/>
      <c r="AQ1392" s="26"/>
      <c r="AR1392" s="26"/>
      <c r="AS1392" s="26"/>
      <c r="AT1392" s="26"/>
      <c r="AU1392" s="26"/>
      <c r="AV1392" s="26"/>
      <c r="AW1392" s="26"/>
      <c r="AX1392" s="26"/>
      <c r="AY1392" s="26"/>
    </row>
    <row r="1393" spans="1:51" ht="12.75" customHeight="1">
      <c r="A1393" s="26"/>
      <c r="B1393" s="66"/>
      <c r="C1393" s="67"/>
      <c r="D1393" s="67"/>
      <c r="E1393" s="26"/>
      <c r="F1393" s="26"/>
      <c r="G1393" s="26"/>
      <c r="H1393" s="26"/>
      <c r="I1393" s="26"/>
      <c r="J1393" s="26"/>
      <c r="K1393" s="26"/>
      <c r="L1393" s="26"/>
      <c r="M1393" s="26"/>
      <c r="N1393" s="26"/>
      <c r="O1393" s="26"/>
      <c r="P1393" s="26"/>
      <c r="Q1393" s="26"/>
      <c r="R1393" s="26"/>
      <c r="S1393" s="26"/>
      <c r="T1393" s="26"/>
      <c r="U1393" s="26"/>
      <c r="V1393" s="26"/>
      <c r="W1393" s="26"/>
      <c r="X1393" s="26"/>
      <c r="Y1393" s="26"/>
      <c r="Z1393" s="26"/>
      <c r="AA1393" s="26"/>
      <c r="AB1393" s="26"/>
      <c r="AC1393" s="26"/>
      <c r="AD1393" s="26"/>
      <c r="AE1393" s="26"/>
      <c r="AF1393" s="26"/>
      <c r="AG1393" s="26"/>
      <c r="AH1393" s="26"/>
      <c r="AI1393" s="26"/>
      <c r="AJ1393" s="26"/>
      <c r="AK1393" s="26"/>
      <c r="AL1393" s="26"/>
      <c r="AM1393" s="26"/>
      <c r="AN1393" s="26"/>
      <c r="AO1393" s="26"/>
      <c r="AP1393" s="26"/>
      <c r="AQ1393" s="26"/>
      <c r="AR1393" s="26"/>
      <c r="AS1393" s="26"/>
      <c r="AT1393" s="26"/>
      <c r="AU1393" s="26"/>
      <c r="AV1393" s="26"/>
      <c r="AW1393" s="26"/>
      <c r="AX1393" s="26"/>
      <c r="AY1393" s="26"/>
    </row>
    <row r="1394" spans="1:51" ht="12.75" customHeight="1">
      <c r="A1394" s="26"/>
      <c r="B1394" s="66"/>
      <c r="C1394" s="67"/>
      <c r="D1394" s="67"/>
      <c r="E1394" s="26"/>
      <c r="F1394" s="26"/>
      <c r="G1394" s="26"/>
      <c r="H1394" s="26"/>
      <c r="I1394" s="26"/>
      <c r="J1394" s="26"/>
      <c r="K1394" s="26"/>
      <c r="L1394" s="26"/>
      <c r="M1394" s="26"/>
      <c r="N1394" s="26"/>
      <c r="O1394" s="26"/>
      <c r="P1394" s="26"/>
      <c r="Q1394" s="26"/>
      <c r="R1394" s="26"/>
      <c r="S1394" s="26"/>
      <c r="T1394" s="26"/>
      <c r="U1394" s="26"/>
      <c r="V1394" s="26"/>
      <c r="W1394" s="26"/>
      <c r="X1394" s="26"/>
      <c r="Y1394" s="26"/>
      <c r="Z1394" s="26"/>
      <c r="AA1394" s="26"/>
      <c r="AB1394" s="26"/>
      <c r="AC1394" s="26"/>
      <c r="AD1394" s="26"/>
      <c r="AE1394" s="26"/>
      <c r="AF1394" s="26"/>
      <c r="AG1394" s="26"/>
      <c r="AH1394" s="26"/>
      <c r="AI1394" s="26"/>
      <c r="AJ1394" s="26"/>
      <c r="AK1394" s="26"/>
      <c r="AL1394" s="26"/>
      <c r="AM1394" s="26"/>
      <c r="AN1394" s="26"/>
      <c r="AO1394" s="26"/>
      <c r="AP1394" s="26"/>
      <c r="AQ1394" s="26"/>
      <c r="AR1394" s="26"/>
      <c r="AS1394" s="26"/>
      <c r="AT1394" s="26"/>
      <c r="AU1394" s="26"/>
      <c r="AV1394" s="26"/>
      <c r="AW1394" s="26"/>
      <c r="AX1394" s="26"/>
      <c r="AY1394" s="26"/>
    </row>
    <row r="1395" spans="1:51" ht="12.75" customHeight="1">
      <c r="A1395" s="26"/>
      <c r="B1395" s="66"/>
      <c r="C1395" s="67"/>
      <c r="D1395" s="67"/>
      <c r="E1395" s="26"/>
      <c r="F1395" s="26"/>
      <c r="G1395" s="26"/>
      <c r="H1395" s="26"/>
      <c r="I1395" s="26"/>
      <c r="J1395" s="26"/>
      <c r="K1395" s="26"/>
      <c r="L1395" s="26"/>
      <c r="M1395" s="26"/>
      <c r="N1395" s="26"/>
      <c r="O1395" s="26"/>
      <c r="P1395" s="26"/>
      <c r="Q1395" s="26"/>
      <c r="R1395" s="26"/>
      <c r="S1395" s="26"/>
      <c r="T1395" s="26"/>
      <c r="U1395" s="26"/>
      <c r="V1395" s="26"/>
      <c r="W1395" s="26"/>
      <c r="X1395" s="26"/>
      <c r="Y1395" s="26"/>
      <c r="Z1395" s="26"/>
      <c r="AA1395" s="26"/>
      <c r="AB1395" s="26"/>
      <c r="AC1395" s="26"/>
      <c r="AD1395" s="26"/>
      <c r="AE1395" s="26"/>
      <c r="AF1395" s="26"/>
      <c r="AG1395" s="26"/>
      <c r="AH1395" s="26"/>
      <c r="AI1395" s="26"/>
      <c r="AJ1395" s="26"/>
      <c r="AK1395" s="26"/>
      <c r="AL1395" s="26"/>
      <c r="AM1395" s="26"/>
      <c r="AN1395" s="26"/>
      <c r="AO1395" s="26"/>
      <c r="AP1395" s="26"/>
      <c r="AQ1395" s="26"/>
      <c r="AR1395" s="26"/>
      <c r="AS1395" s="26"/>
      <c r="AT1395" s="26"/>
      <c r="AU1395" s="26"/>
      <c r="AV1395" s="26"/>
      <c r="AW1395" s="26"/>
      <c r="AX1395" s="26"/>
      <c r="AY1395" s="26"/>
    </row>
    <row r="1396" spans="1:51" ht="12.75" customHeight="1">
      <c r="A1396" s="26"/>
      <c r="B1396" s="66"/>
      <c r="C1396" s="67"/>
      <c r="D1396" s="67"/>
      <c r="E1396" s="26"/>
      <c r="F1396" s="26"/>
      <c r="G1396" s="26"/>
      <c r="H1396" s="26"/>
      <c r="I1396" s="26"/>
      <c r="J1396" s="26"/>
      <c r="K1396" s="26"/>
      <c r="L1396" s="26"/>
      <c r="M1396" s="26"/>
      <c r="N1396" s="26"/>
      <c r="O1396" s="26"/>
      <c r="P1396" s="26"/>
      <c r="Q1396" s="26"/>
      <c r="R1396" s="26"/>
      <c r="S1396" s="26"/>
      <c r="T1396" s="26"/>
      <c r="U1396" s="26"/>
      <c r="V1396" s="26"/>
      <c r="W1396" s="26"/>
      <c r="X1396" s="26"/>
      <c r="Y1396" s="26"/>
      <c r="Z1396" s="26"/>
      <c r="AA1396" s="26"/>
      <c r="AB1396" s="26"/>
      <c r="AC1396" s="26"/>
      <c r="AD1396" s="26"/>
      <c r="AE1396" s="26"/>
      <c r="AF1396" s="26"/>
      <c r="AG1396" s="26"/>
      <c r="AH1396" s="26"/>
      <c r="AI1396" s="26"/>
      <c r="AJ1396" s="26"/>
      <c r="AK1396" s="26"/>
      <c r="AL1396" s="26"/>
      <c r="AM1396" s="26"/>
      <c r="AN1396" s="26"/>
      <c r="AO1396" s="26"/>
      <c r="AP1396" s="26"/>
      <c r="AQ1396" s="26"/>
      <c r="AR1396" s="26"/>
      <c r="AS1396" s="26"/>
      <c r="AT1396" s="26"/>
      <c r="AU1396" s="26"/>
      <c r="AV1396" s="26"/>
      <c r="AW1396" s="26"/>
      <c r="AX1396" s="26"/>
      <c r="AY1396" s="26"/>
    </row>
    <row r="1397" spans="1:51" ht="12.75" customHeight="1">
      <c r="A1397" s="26"/>
      <c r="B1397" s="66"/>
      <c r="C1397" s="67"/>
      <c r="D1397" s="67"/>
      <c r="E1397" s="26"/>
      <c r="F1397" s="26"/>
      <c r="G1397" s="26"/>
      <c r="H1397" s="26"/>
      <c r="I1397" s="26"/>
      <c r="J1397" s="26"/>
      <c r="K1397" s="26"/>
      <c r="L1397" s="26"/>
      <c r="M1397" s="26"/>
      <c r="N1397" s="26"/>
      <c r="O1397" s="26"/>
      <c r="P1397" s="26"/>
      <c r="Q1397" s="26"/>
      <c r="R1397" s="26"/>
      <c r="S1397" s="26"/>
      <c r="T1397" s="26"/>
      <c r="U1397" s="26"/>
      <c r="V1397" s="26"/>
      <c r="W1397" s="26"/>
      <c r="X1397" s="26"/>
      <c r="Y1397" s="26"/>
      <c r="Z1397" s="26"/>
      <c r="AA1397" s="26"/>
      <c r="AB1397" s="26"/>
      <c r="AC1397" s="26"/>
      <c r="AD1397" s="26"/>
      <c r="AE1397" s="26"/>
      <c r="AF1397" s="26"/>
      <c r="AG1397" s="26"/>
      <c r="AH1397" s="26"/>
      <c r="AI1397" s="26"/>
      <c r="AJ1397" s="26"/>
      <c r="AK1397" s="26"/>
      <c r="AL1397" s="26"/>
      <c r="AM1397" s="26"/>
      <c r="AN1397" s="26"/>
      <c r="AO1397" s="26"/>
      <c r="AP1397" s="26"/>
      <c r="AQ1397" s="26"/>
      <c r="AR1397" s="26"/>
      <c r="AS1397" s="26"/>
      <c r="AT1397" s="26"/>
      <c r="AU1397" s="26"/>
      <c r="AV1397" s="26"/>
      <c r="AW1397" s="26"/>
      <c r="AX1397" s="26"/>
      <c r="AY1397" s="26"/>
    </row>
    <row r="1398" spans="1:51" ht="12.75" customHeight="1">
      <c r="A1398" s="26"/>
      <c r="B1398" s="66"/>
      <c r="C1398" s="67"/>
      <c r="D1398" s="67"/>
      <c r="E1398" s="26"/>
      <c r="F1398" s="26"/>
      <c r="G1398" s="26"/>
      <c r="H1398" s="26"/>
      <c r="I1398" s="26"/>
      <c r="J1398" s="26"/>
      <c r="K1398" s="26"/>
      <c r="L1398" s="26"/>
      <c r="M1398" s="26"/>
      <c r="N1398" s="26"/>
      <c r="O1398" s="26"/>
      <c r="P1398" s="26"/>
      <c r="Q1398" s="26"/>
      <c r="R1398" s="26"/>
      <c r="S1398" s="26"/>
      <c r="T1398" s="26"/>
      <c r="U1398" s="26"/>
      <c r="V1398" s="26"/>
      <c r="W1398" s="26"/>
      <c r="X1398" s="26"/>
      <c r="Y1398" s="26"/>
      <c r="Z1398" s="26"/>
      <c r="AA1398" s="26"/>
      <c r="AB1398" s="26"/>
      <c r="AC1398" s="26"/>
      <c r="AD1398" s="26"/>
      <c r="AE1398" s="26"/>
      <c r="AF1398" s="26"/>
      <c r="AG1398" s="26"/>
      <c r="AH1398" s="26"/>
      <c r="AI1398" s="26"/>
      <c r="AJ1398" s="26"/>
      <c r="AK1398" s="26"/>
      <c r="AL1398" s="26"/>
      <c r="AM1398" s="26"/>
      <c r="AN1398" s="26"/>
      <c r="AO1398" s="26"/>
      <c r="AP1398" s="26"/>
      <c r="AQ1398" s="26"/>
      <c r="AR1398" s="26"/>
      <c r="AS1398" s="26"/>
      <c r="AT1398" s="26"/>
      <c r="AU1398" s="26"/>
      <c r="AV1398" s="26"/>
      <c r="AW1398" s="26"/>
      <c r="AX1398" s="26"/>
      <c r="AY1398" s="26"/>
    </row>
    <row r="1399" spans="1:51" ht="12.75" customHeight="1">
      <c r="A1399" s="26"/>
      <c r="B1399" s="66"/>
      <c r="C1399" s="67"/>
      <c r="D1399" s="67"/>
      <c r="E1399" s="26"/>
      <c r="F1399" s="26"/>
      <c r="G1399" s="26"/>
      <c r="H1399" s="26"/>
      <c r="I1399" s="26"/>
      <c r="J1399" s="26"/>
      <c r="K1399" s="26"/>
      <c r="L1399" s="26"/>
      <c r="M1399" s="26"/>
      <c r="N1399" s="26"/>
      <c r="O1399" s="26"/>
      <c r="P1399" s="26"/>
      <c r="Q1399" s="26"/>
      <c r="R1399" s="26"/>
      <c r="S1399" s="26"/>
      <c r="T1399" s="26"/>
      <c r="U1399" s="26"/>
      <c r="V1399" s="26"/>
      <c r="W1399" s="26"/>
      <c r="X1399" s="26"/>
      <c r="Y1399" s="26"/>
      <c r="Z1399" s="26"/>
      <c r="AA1399" s="26"/>
      <c r="AB1399" s="26"/>
      <c r="AC1399" s="26"/>
      <c r="AD1399" s="26"/>
      <c r="AE1399" s="26"/>
      <c r="AF1399" s="26"/>
      <c r="AG1399" s="26"/>
      <c r="AH1399" s="26"/>
      <c r="AI1399" s="26"/>
      <c r="AJ1399" s="26"/>
      <c r="AK1399" s="26"/>
      <c r="AL1399" s="26"/>
      <c r="AM1399" s="26"/>
      <c r="AN1399" s="26"/>
      <c r="AO1399" s="26"/>
      <c r="AP1399" s="26"/>
      <c r="AQ1399" s="26"/>
      <c r="AR1399" s="26"/>
      <c r="AS1399" s="26"/>
      <c r="AT1399" s="26"/>
      <c r="AU1399" s="26"/>
      <c r="AV1399" s="26"/>
      <c r="AW1399" s="26"/>
      <c r="AX1399" s="26"/>
      <c r="AY1399" s="26"/>
    </row>
    <row r="1400" spans="1:51" ht="12.75" customHeight="1">
      <c r="A1400" s="26"/>
      <c r="B1400" s="66"/>
      <c r="C1400" s="67"/>
      <c r="D1400" s="67"/>
      <c r="E1400" s="26"/>
      <c r="F1400" s="26"/>
      <c r="G1400" s="26"/>
      <c r="H1400" s="26"/>
      <c r="I1400" s="26"/>
      <c r="J1400" s="26"/>
      <c r="K1400" s="26"/>
      <c r="L1400" s="26"/>
      <c r="M1400" s="26"/>
      <c r="N1400" s="26"/>
      <c r="O1400" s="26"/>
      <c r="P1400" s="26"/>
      <c r="Q1400" s="26"/>
      <c r="R1400" s="26"/>
      <c r="S1400" s="26"/>
      <c r="T1400" s="26"/>
      <c r="U1400" s="26"/>
      <c r="V1400" s="26"/>
      <c r="W1400" s="26"/>
      <c r="X1400" s="26"/>
      <c r="Y1400" s="26"/>
      <c r="Z1400" s="26"/>
      <c r="AA1400" s="26"/>
      <c r="AB1400" s="26"/>
      <c r="AC1400" s="26"/>
      <c r="AD1400" s="26"/>
      <c r="AE1400" s="26"/>
      <c r="AF1400" s="26"/>
      <c r="AG1400" s="26"/>
      <c r="AH1400" s="26"/>
      <c r="AI1400" s="26"/>
      <c r="AJ1400" s="26"/>
      <c r="AK1400" s="26"/>
      <c r="AL1400" s="26"/>
      <c r="AM1400" s="26"/>
      <c r="AN1400" s="26"/>
      <c r="AO1400" s="26"/>
      <c r="AP1400" s="26"/>
      <c r="AQ1400" s="26"/>
      <c r="AR1400" s="26"/>
      <c r="AS1400" s="26"/>
      <c r="AT1400" s="26"/>
      <c r="AU1400" s="26"/>
      <c r="AV1400" s="26"/>
      <c r="AW1400" s="26"/>
      <c r="AX1400" s="26"/>
      <c r="AY1400" s="26"/>
    </row>
    <row r="1401" spans="1:51" ht="12.75" customHeight="1">
      <c r="A1401" s="26"/>
      <c r="B1401" s="66"/>
      <c r="C1401" s="67"/>
      <c r="D1401" s="67"/>
      <c r="E1401" s="26"/>
      <c r="F1401" s="26"/>
      <c r="G1401" s="26"/>
      <c r="H1401" s="26"/>
      <c r="I1401" s="26"/>
      <c r="J1401" s="26"/>
      <c r="K1401" s="26"/>
      <c r="L1401" s="26"/>
      <c r="M1401" s="26"/>
      <c r="N1401" s="26"/>
      <c r="O1401" s="26"/>
      <c r="P1401" s="26"/>
      <c r="Q1401" s="26"/>
      <c r="R1401" s="26"/>
      <c r="S1401" s="26"/>
      <c r="T1401" s="26"/>
      <c r="U1401" s="26"/>
      <c r="V1401" s="26"/>
      <c r="W1401" s="26"/>
      <c r="X1401" s="26"/>
      <c r="Y1401" s="26"/>
      <c r="Z1401" s="26"/>
      <c r="AA1401" s="26"/>
      <c r="AB1401" s="26"/>
      <c r="AC1401" s="26"/>
      <c r="AD1401" s="26"/>
      <c r="AE1401" s="26"/>
      <c r="AF1401" s="26"/>
      <c r="AG1401" s="26"/>
      <c r="AH1401" s="26"/>
      <c r="AI1401" s="26"/>
      <c r="AJ1401" s="26"/>
      <c r="AK1401" s="26"/>
      <c r="AL1401" s="26"/>
      <c r="AM1401" s="26"/>
      <c r="AN1401" s="26"/>
      <c r="AO1401" s="26"/>
      <c r="AP1401" s="26"/>
      <c r="AQ1401" s="26"/>
      <c r="AR1401" s="26"/>
      <c r="AS1401" s="26"/>
      <c r="AT1401" s="26"/>
      <c r="AU1401" s="26"/>
      <c r="AV1401" s="26"/>
      <c r="AW1401" s="26"/>
      <c r="AX1401" s="26"/>
      <c r="AY1401" s="26"/>
    </row>
    <row r="1402" spans="1:51" ht="12.75" customHeight="1">
      <c r="A1402" s="26"/>
      <c r="B1402" s="66"/>
      <c r="C1402" s="67"/>
      <c r="D1402" s="67"/>
      <c r="E1402" s="26"/>
      <c r="F1402" s="26"/>
      <c r="G1402" s="26"/>
      <c r="H1402" s="26"/>
      <c r="I1402" s="26"/>
      <c r="J1402" s="26"/>
      <c r="K1402" s="26"/>
      <c r="L1402" s="26"/>
      <c r="M1402" s="26"/>
      <c r="N1402" s="26"/>
      <c r="O1402" s="26"/>
      <c r="P1402" s="26"/>
      <c r="Q1402" s="26"/>
      <c r="R1402" s="26"/>
      <c r="S1402" s="26"/>
      <c r="T1402" s="26"/>
      <c r="U1402" s="26"/>
      <c r="V1402" s="26"/>
      <c r="W1402" s="26"/>
      <c r="X1402" s="26"/>
      <c r="Y1402" s="26"/>
      <c r="Z1402" s="26"/>
      <c r="AA1402" s="26"/>
      <c r="AB1402" s="26"/>
      <c r="AC1402" s="26"/>
      <c r="AD1402" s="26"/>
      <c r="AE1402" s="26"/>
      <c r="AF1402" s="26"/>
      <c r="AG1402" s="26"/>
      <c r="AH1402" s="26"/>
      <c r="AI1402" s="26"/>
      <c r="AJ1402" s="26"/>
      <c r="AK1402" s="26"/>
      <c r="AL1402" s="26"/>
      <c r="AM1402" s="26"/>
      <c r="AN1402" s="26"/>
      <c r="AO1402" s="26"/>
      <c r="AP1402" s="26"/>
      <c r="AQ1402" s="26"/>
      <c r="AR1402" s="26"/>
      <c r="AS1402" s="26"/>
      <c r="AT1402" s="26"/>
      <c r="AU1402" s="26"/>
      <c r="AV1402" s="26"/>
      <c r="AW1402" s="26"/>
      <c r="AX1402" s="26"/>
      <c r="AY1402" s="26"/>
    </row>
    <row r="1403" spans="1:51" ht="12.75" customHeight="1">
      <c r="A1403" s="26"/>
      <c r="B1403" s="66"/>
      <c r="C1403" s="67"/>
      <c r="D1403" s="67"/>
      <c r="E1403" s="26"/>
      <c r="F1403" s="26"/>
      <c r="G1403" s="26"/>
      <c r="H1403" s="26"/>
      <c r="I1403" s="26"/>
      <c r="J1403" s="26"/>
      <c r="K1403" s="26"/>
      <c r="L1403" s="26"/>
      <c r="M1403" s="26"/>
      <c r="N1403" s="26"/>
      <c r="O1403" s="26"/>
      <c r="P1403" s="26"/>
      <c r="Q1403" s="26"/>
      <c r="R1403" s="26"/>
      <c r="S1403" s="26"/>
      <c r="T1403" s="26"/>
      <c r="U1403" s="26"/>
      <c r="V1403" s="26"/>
      <c r="W1403" s="26"/>
      <c r="X1403" s="26"/>
      <c r="Y1403" s="26"/>
      <c r="Z1403" s="26"/>
      <c r="AA1403" s="26"/>
      <c r="AB1403" s="26"/>
      <c r="AC1403" s="26"/>
      <c r="AD1403" s="26"/>
      <c r="AE1403" s="26"/>
      <c r="AF1403" s="26"/>
      <c r="AG1403" s="26"/>
      <c r="AH1403" s="26"/>
      <c r="AI1403" s="26"/>
      <c r="AJ1403" s="26"/>
      <c r="AK1403" s="26"/>
      <c r="AL1403" s="26"/>
      <c r="AM1403" s="26"/>
      <c r="AN1403" s="26"/>
      <c r="AO1403" s="26"/>
      <c r="AP1403" s="26"/>
      <c r="AQ1403" s="26"/>
      <c r="AR1403" s="26"/>
      <c r="AS1403" s="26"/>
      <c r="AT1403" s="26"/>
      <c r="AU1403" s="26"/>
      <c r="AV1403" s="26"/>
      <c r="AW1403" s="26"/>
      <c r="AX1403" s="26"/>
      <c r="AY1403" s="26"/>
    </row>
    <row r="1404" spans="1:51" ht="12.75" customHeight="1">
      <c r="A1404" s="26"/>
      <c r="B1404" s="66"/>
      <c r="C1404" s="67"/>
      <c r="D1404" s="67"/>
      <c r="E1404" s="26"/>
      <c r="F1404" s="26"/>
      <c r="G1404" s="26"/>
      <c r="H1404" s="26"/>
      <c r="I1404" s="26"/>
      <c r="J1404" s="26"/>
      <c r="K1404" s="26"/>
      <c r="L1404" s="26"/>
      <c r="M1404" s="26"/>
      <c r="N1404" s="26"/>
      <c r="O1404" s="26"/>
      <c r="P1404" s="26"/>
      <c r="Q1404" s="26"/>
      <c r="R1404" s="26"/>
      <c r="S1404" s="26"/>
      <c r="T1404" s="26"/>
      <c r="U1404" s="26"/>
      <c r="V1404" s="26"/>
      <c r="W1404" s="26"/>
      <c r="X1404" s="26"/>
      <c r="Y1404" s="26"/>
      <c r="Z1404" s="26"/>
      <c r="AA1404" s="26"/>
      <c r="AB1404" s="26"/>
      <c r="AC1404" s="26"/>
      <c r="AD1404" s="26"/>
      <c r="AE1404" s="26"/>
      <c r="AF1404" s="26"/>
      <c r="AG1404" s="26"/>
      <c r="AH1404" s="26"/>
      <c r="AI1404" s="26"/>
      <c r="AJ1404" s="26"/>
      <c r="AK1404" s="26"/>
      <c r="AL1404" s="26"/>
      <c r="AM1404" s="26"/>
      <c r="AN1404" s="26"/>
      <c r="AO1404" s="26"/>
      <c r="AP1404" s="26"/>
      <c r="AQ1404" s="26"/>
      <c r="AR1404" s="26"/>
      <c r="AS1404" s="26"/>
      <c r="AT1404" s="26"/>
      <c r="AU1404" s="26"/>
      <c r="AV1404" s="26"/>
      <c r="AW1404" s="26"/>
      <c r="AX1404" s="26"/>
      <c r="AY1404" s="26"/>
    </row>
    <row r="1405" spans="1:51" ht="12.75" customHeight="1">
      <c r="A1405" s="26"/>
      <c r="B1405" s="66"/>
      <c r="C1405" s="67"/>
      <c r="D1405" s="67"/>
      <c r="E1405" s="26"/>
      <c r="F1405" s="26"/>
      <c r="G1405" s="26"/>
      <c r="H1405" s="26"/>
      <c r="I1405" s="26"/>
      <c r="J1405" s="26"/>
      <c r="K1405" s="26"/>
      <c r="L1405" s="26"/>
      <c r="M1405" s="26"/>
      <c r="N1405" s="26"/>
      <c r="O1405" s="26"/>
      <c r="P1405" s="26"/>
      <c r="Q1405" s="26"/>
      <c r="R1405" s="26"/>
      <c r="S1405" s="26"/>
      <c r="T1405" s="26"/>
      <c r="U1405" s="26"/>
      <c r="V1405" s="26"/>
      <c r="W1405" s="26"/>
      <c r="X1405" s="26"/>
      <c r="Y1405" s="26"/>
      <c r="Z1405" s="26"/>
      <c r="AA1405" s="26"/>
      <c r="AB1405" s="26"/>
      <c r="AC1405" s="26"/>
      <c r="AD1405" s="26"/>
      <c r="AE1405" s="26"/>
      <c r="AF1405" s="26"/>
      <c r="AG1405" s="26"/>
      <c r="AH1405" s="26"/>
      <c r="AI1405" s="26"/>
      <c r="AJ1405" s="26"/>
      <c r="AK1405" s="26"/>
      <c r="AL1405" s="26"/>
      <c r="AM1405" s="26"/>
      <c r="AN1405" s="26"/>
      <c r="AO1405" s="26"/>
      <c r="AP1405" s="26"/>
      <c r="AQ1405" s="26"/>
      <c r="AR1405" s="26"/>
      <c r="AS1405" s="26"/>
      <c r="AT1405" s="26"/>
      <c r="AU1405" s="26"/>
      <c r="AV1405" s="26"/>
      <c r="AW1405" s="26"/>
      <c r="AX1405" s="26"/>
      <c r="AY1405" s="26"/>
    </row>
    <row r="1406" spans="1:51" ht="12.75" customHeight="1">
      <c r="A1406" s="26"/>
      <c r="B1406" s="66"/>
      <c r="C1406" s="67"/>
      <c r="D1406" s="67"/>
      <c r="E1406" s="26"/>
      <c r="F1406" s="26"/>
      <c r="G1406" s="26"/>
      <c r="H1406" s="26"/>
      <c r="I1406" s="26"/>
      <c r="J1406" s="26"/>
      <c r="K1406" s="26"/>
      <c r="L1406" s="26"/>
      <c r="M1406" s="26"/>
      <c r="N1406" s="26"/>
      <c r="O1406" s="26"/>
      <c r="P1406" s="26"/>
      <c r="Q1406" s="26"/>
      <c r="R1406" s="26"/>
      <c r="S1406" s="26"/>
      <c r="T1406" s="26"/>
      <c r="U1406" s="26"/>
      <c r="V1406" s="26"/>
      <c r="W1406" s="26"/>
      <c r="X1406" s="26"/>
      <c r="Y1406" s="26"/>
      <c r="Z1406" s="26"/>
      <c r="AA1406" s="26"/>
      <c r="AB1406" s="26"/>
      <c r="AC1406" s="26"/>
      <c r="AD1406" s="26"/>
      <c r="AE1406" s="26"/>
      <c r="AF1406" s="26"/>
      <c r="AG1406" s="26"/>
      <c r="AH1406" s="26"/>
      <c r="AI1406" s="26"/>
      <c r="AJ1406" s="26"/>
      <c r="AK1406" s="26"/>
      <c r="AL1406" s="26"/>
      <c r="AM1406" s="26"/>
      <c r="AN1406" s="26"/>
      <c r="AO1406" s="26"/>
      <c r="AP1406" s="26"/>
      <c r="AQ1406" s="26"/>
      <c r="AR1406" s="26"/>
      <c r="AS1406" s="26"/>
      <c r="AT1406" s="26"/>
      <c r="AU1406" s="26"/>
      <c r="AV1406" s="26"/>
      <c r="AW1406" s="26"/>
      <c r="AX1406" s="26"/>
      <c r="AY1406" s="26"/>
    </row>
    <row r="1407" spans="1:51" ht="12.75" customHeight="1">
      <c r="A1407" s="26"/>
      <c r="B1407" s="66"/>
      <c r="C1407" s="67"/>
      <c r="D1407" s="67"/>
      <c r="E1407" s="26"/>
      <c r="F1407" s="26"/>
      <c r="G1407" s="26"/>
      <c r="H1407" s="26"/>
      <c r="I1407" s="26"/>
      <c r="J1407" s="26"/>
      <c r="K1407" s="26"/>
      <c r="L1407" s="26"/>
      <c r="M1407" s="26"/>
      <c r="N1407" s="26"/>
      <c r="O1407" s="26"/>
      <c r="P1407" s="26"/>
      <c r="Q1407" s="26"/>
      <c r="R1407" s="26"/>
      <c r="S1407" s="26"/>
      <c r="T1407" s="26"/>
      <c r="U1407" s="26"/>
      <c r="V1407" s="26"/>
      <c r="W1407" s="26"/>
      <c r="X1407" s="26"/>
      <c r="Y1407" s="26"/>
      <c r="Z1407" s="26"/>
      <c r="AA1407" s="26"/>
      <c r="AB1407" s="26"/>
      <c r="AC1407" s="26"/>
      <c r="AD1407" s="26"/>
      <c r="AE1407" s="26"/>
      <c r="AF1407" s="26"/>
      <c r="AG1407" s="26"/>
      <c r="AH1407" s="26"/>
      <c r="AI1407" s="26"/>
      <c r="AJ1407" s="26"/>
      <c r="AK1407" s="26"/>
      <c r="AL1407" s="26"/>
      <c r="AM1407" s="26"/>
      <c r="AN1407" s="26"/>
      <c r="AO1407" s="26"/>
      <c r="AP1407" s="26"/>
      <c r="AQ1407" s="26"/>
      <c r="AR1407" s="26"/>
      <c r="AS1407" s="26"/>
      <c r="AT1407" s="26"/>
      <c r="AU1407" s="26"/>
      <c r="AV1407" s="26"/>
      <c r="AW1407" s="26"/>
      <c r="AX1407" s="26"/>
      <c r="AY1407" s="26"/>
    </row>
    <row r="1408" spans="1:51" ht="12.75" customHeight="1">
      <c r="A1408" s="26"/>
      <c r="B1408" s="66"/>
      <c r="C1408" s="67"/>
      <c r="D1408" s="67"/>
      <c r="E1408" s="26"/>
      <c r="F1408" s="26"/>
      <c r="G1408" s="26"/>
      <c r="H1408" s="26"/>
      <c r="I1408" s="26"/>
      <c r="J1408" s="26"/>
      <c r="K1408" s="26"/>
      <c r="L1408" s="26"/>
      <c r="M1408" s="26"/>
      <c r="N1408" s="26"/>
      <c r="O1408" s="26"/>
      <c r="P1408" s="26"/>
      <c r="Q1408" s="26"/>
      <c r="R1408" s="26"/>
      <c r="S1408" s="26"/>
      <c r="T1408" s="26"/>
      <c r="U1408" s="26"/>
      <c r="V1408" s="26"/>
      <c r="W1408" s="26"/>
      <c r="X1408" s="26"/>
      <c r="Y1408" s="26"/>
      <c r="Z1408" s="26"/>
      <c r="AA1408" s="26"/>
      <c r="AB1408" s="26"/>
      <c r="AC1408" s="26"/>
      <c r="AD1408" s="26"/>
      <c r="AE1408" s="26"/>
      <c r="AF1408" s="26"/>
      <c r="AG1408" s="26"/>
      <c r="AH1408" s="26"/>
      <c r="AI1408" s="26"/>
      <c r="AJ1408" s="26"/>
      <c r="AK1408" s="26"/>
      <c r="AL1408" s="26"/>
      <c r="AM1408" s="26"/>
      <c r="AN1408" s="26"/>
      <c r="AO1408" s="26"/>
      <c r="AP1408" s="26"/>
      <c r="AQ1408" s="26"/>
      <c r="AR1408" s="26"/>
      <c r="AS1408" s="26"/>
      <c r="AT1408" s="26"/>
      <c r="AU1408" s="26"/>
      <c r="AV1408" s="26"/>
      <c r="AW1408" s="26"/>
      <c r="AX1408" s="26"/>
      <c r="AY1408" s="26"/>
    </row>
    <row r="1409" spans="1:51" ht="12.75" customHeight="1">
      <c r="A1409" s="26"/>
      <c r="B1409" s="66"/>
      <c r="C1409" s="67"/>
      <c r="D1409" s="67"/>
      <c r="E1409" s="26"/>
      <c r="F1409" s="26"/>
      <c r="G1409" s="26"/>
      <c r="H1409" s="26"/>
      <c r="I1409" s="26"/>
      <c r="J1409" s="26"/>
      <c r="K1409" s="26"/>
      <c r="L1409" s="26"/>
      <c r="M1409" s="26"/>
      <c r="N1409" s="26"/>
      <c r="O1409" s="26"/>
      <c r="P1409" s="26"/>
      <c r="Q1409" s="26"/>
      <c r="R1409" s="26"/>
      <c r="S1409" s="26"/>
      <c r="T1409" s="26"/>
      <c r="U1409" s="26"/>
      <c r="V1409" s="26"/>
      <c r="W1409" s="26"/>
      <c r="X1409" s="26"/>
      <c r="Y1409" s="26"/>
      <c r="Z1409" s="26"/>
      <c r="AA1409" s="26"/>
      <c r="AB1409" s="26"/>
      <c r="AC1409" s="26"/>
      <c r="AD1409" s="26"/>
      <c r="AE1409" s="26"/>
      <c r="AF1409" s="26"/>
      <c r="AG1409" s="26"/>
      <c r="AH1409" s="26"/>
      <c r="AI1409" s="26"/>
      <c r="AJ1409" s="26"/>
      <c r="AK1409" s="26"/>
      <c r="AL1409" s="26"/>
      <c r="AM1409" s="26"/>
      <c r="AN1409" s="26"/>
      <c r="AO1409" s="26"/>
      <c r="AP1409" s="26"/>
      <c r="AQ1409" s="26"/>
      <c r="AR1409" s="26"/>
      <c r="AS1409" s="26"/>
      <c r="AT1409" s="26"/>
      <c r="AU1409" s="26"/>
      <c r="AV1409" s="26"/>
      <c r="AW1409" s="26"/>
      <c r="AX1409" s="26"/>
      <c r="AY1409" s="26"/>
    </row>
    <row r="1410" spans="1:51" ht="12.75" customHeight="1">
      <c r="A1410" s="26"/>
      <c r="B1410" s="66"/>
      <c r="C1410" s="67"/>
      <c r="D1410" s="67"/>
      <c r="E1410" s="26"/>
      <c r="F1410" s="26"/>
      <c r="G1410" s="26"/>
      <c r="H1410" s="26"/>
      <c r="I1410" s="26"/>
      <c r="J1410" s="26"/>
      <c r="K1410" s="26"/>
      <c r="L1410" s="26"/>
      <c r="M1410" s="26"/>
      <c r="N1410" s="26"/>
      <c r="O1410" s="26"/>
      <c r="P1410" s="26"/>
      <c r="Q1410" s="26"/>
      <c r="R1410" s="26"/>
      <c r="S1410" s="26"/>
      <c r="T1410" s="26"/>
      <c r="U1410" s="26"/>
      <c r="V1410" s="26"/>
      <c r="W1410" s="26"/>
      <c r="X1410" s="26"/>
      <c r="Y1410" s="26"/>
      <c r="Z1410" s="26"/>
      <c r="AA1410" s="26"/>
      <c r="AB1410" s="26"/>
      <c r="AC1410" s="26"/>
      <c r="AD1410" s="26"/>
      <c r="AE1410" s="26"/>
      <c r="AF1410" s="26"/>
      <c r="AG1410" s="26"/>
      <c r="AH1410" s="26"/>
      <c r="AI1410" s="26"/>
      <c r="AJ1410" s="26"/>
      <c r="AK1410" s="26"/>
      <c r="AL1410" s="26"/>
      <c r="AM1410" s="26"/>
      <c r="AN1410" s="26"/>
      <c r="AO1410" s="26"/>
      <c r="AP1410" s="26"/>
      <c r="AQ1410" s="26"/>
      <c r="AR1410" s="26"/>
      <c r="AS1410" s="26"/>
      <c r="AT1410" s="26"/>
      <c r="AU1410" s="26"/>
      <c r="AV1410" s="26"/>
      <c r="AW1410" s="26"/>
      <c r="AX1410" s="26"/>
      <c r="AY1410" s="26"/>
    </row>
    <row r="1411" spans="1:51" ht="12.75" customHeight="1">
      <c r="A1411" s="26"/>
      <c r="B1411" s="66"/>
      <c r="C1411" s="67"/>
      <c r="D1411" s="67"/>
      <c r="E1411" s="26"/>
      <c r="F1411" s="26"/>
      <c r="G1411" s="26"/>
      <c r="H1411" s="26"/>
      <c r="I1411" s="26"/>
      <c r="J1411" s="26"/>
      <c r="K1411" s="26"/>
      <c r="L1411" s="26"/>
      <c r="M1411" s="26"/>
      <c r="N1411" s="26"/>
      <c r="O1411" s="26"/>
      <c r="P1411" s="26"/>
      <c r="Q1411" s="26"/>
      <c r="R1411" s="26"/>
      <c r="S1411" s="26"/>
      <c r="T1411" s="26"/>
      <c r="U1411" s="26"/>
      <c r="V1411" s="26"/>
      <c r="W1411" s="26"/>
      <c r="X1411" s="26"/>
      <c r="Y1411" s="26"/>
      <c r="Z1411" s="26"/>
      <c r="AA1411" s="26"/>
      <c r="AB1411" s="26"/>
      <c r="AC1411" s="26"/>
      <c r="AD1411" s="26"/>
      <c r="AE1411" s="26"/>
      <c r="AF1411" s="26"/>
      <c r="AG1411" s="26"/>
      <c r="AH1411" s="26"/>
      <c r="AI1411" s="26"/>
      <c r="AJ1411" s="26"/>
      <c r="AK1411" s="26"/>
      <c r="AL1411" s="26"/>
      <c r="AM1411" s="26"/>
      <c r="AN1411" s="26"/>
      <c r="AO1411" s="26"/>
      <c r="AP1411" s="26"/>
      <c r="AQ1411" s="26"/>
      <c r="AR1411" s="26"/>
      <c r="AS1411" s="26"/>
      <c r="AT1411" s="26"/>
      <c r="AU1411" s="26"/>
      <c r="AV1411" s="26"/>
      <c r="AW1411" s="26"/>
      <c r="AX1411" s="26"/>
      <c r="AY1411" s="26"/>
    </row>
    <row r="1412" spans="1:51" ht="12.75" customHeight="1">
      <c r="A1412" s="26"/>
      <c r="B1412" s="66"/>
      <c r="C1412" s="67"/>
      <c r="D1412" s="67"/>
      <c r="E1412" s="26"/>
      <c r="F1412" s="26"/>
      <c r="G1412" s="26"/>
      <c r="H1412" s="26"/>
      <c r="I1412" s="26"/>
      <c r="J1412" s="26"/>
      <c r="K1412" s="26"/>
      <c r="L1412" s="26"/>
      <c r="M1412" s="26"/>
      <c r="N1412" s="26"/>
      <c r="O1412" s="26"/>
      <c r="P1412" s="26"/>
      <c r="Q1412" s="26"/>
      <c r="R1412" s="26"/>
      <c r="S1412" s="26"/>
      <c r="T1412" s="26"/>
      <c r="U1412" s="26"/>
      <c r="V1412" s="26"/>
      <c r="W1412" s="26"/>
      <c r="X1412" s="26"/>
      <c r="Y1412" s="26"/>
      <c r="Z1412" s="26"/>
      <c r="AA1412" s="26"/>
      <c r="AB1412" s="26"/>
      <c r="AC1412" s="26"/>
      <c r="AD1412" s="26"/>
      <c r="AE1412" s="26"/>
      <c r="AF1412" s="26"/>
      <c r="AG1412" s="26"/>
      <c r="AH1412" s="26"/>
      <c r="AI1412" s="26"/>
      <c r="AJ1412" s="26"/>
      <c r="AK1412" s="26"/>
      <c r="AL1412" s="26"/>
      <c r="AM1412" s="26"/>
      <c r="AN1412" s="26"/>
      <c r="AO1412" s="26"/>
      <c r="AP1412" s="26"/>
      <c r="AQ1412" s="26"/>
      <c r="AR1412" s="26"/>
      <c r="AS1412" s="26"/>
      <c r="AT1412" s="26"/>
      <c r="AU1412" s="26"/>
      <c r="AV1412" s="26"/>
      <c r="AW1412" s="26"/>
      <c r="AX1412" s="26"/>
      <c r="AY1412" s="26"/>
    </row>
    <row r="1413" spans="1:51" ht="12.75" customHeight="1">
      <c r="A1413" s="26"/>
      <c r="B1413" s="66"/>
      <c r="C1413" s="67"/>
      <c r="D1413" s="67"/>
      <c r="E1413" s="26"/>
      <c r="F1413" s="26"/>
      <c r="G1413" s="26"/>
      <c r="H1413" s="26"/>
      <c r="I1413" s="26"/>
      <c r="J1413" s="26"/>
      <c r="K1413" s="26"/>
      <c r="L1413" s="26"/>
      <c r="M1413" s="26"/>
      <c r="N1413" s="26"/>
      <c r="O1413" s="26"/>
      <c r="P1413" s="26"/>
      <c r="Q1413" s="26"/>
      <c r="R1413" s="26"/>
      <c r="S1413" s="26"/>
      <c r="T1413" s="26"/>
      <c r="U1413" s="26"/>
      <c r="V1413" s="26"/>
      <c r="W1413" s="26"/>
      <c r="X1413" s="26"/>
      <c r="Y1413" s="26"/>
      <c r="Z1413" s="26"/>
      <c r="AA1413" s="26"/>
      <c r="AB1413" s="26"/>
      <c r="AC1413" s="26"/>
      <c r="AD1413" s="26"/>
      <c r="AE1413" s="26"/>
      <c r="AF1413" s="26"/>
      <c r="AG1413" s="26"/>
      <c r="AH1413" s="26"/>
      <c r="AI1413" s="26"/>
      <c r="AJ1413" s="26"/>
      <c r="AK1413" s="26"/>
      <c r="AL1413" s="26"/>
      <c r="AM1413" s="26"/>
      <c r="AN1413" s="26"/>
      <c r="AO1413" s="26"/>
      <c r="AP1413" s="26"/>
      <c r="AQ1413" s="26"/>
      <c r="AR1413" s="26"/>
      <c r="AS1413" s="26"/>
      <c r="AT1413" s="26"/>
      <c r="AU1413" s="26"/>
      <c r="AV1413" s="26"/>
      <c r="AW1413" s="26"/>
      <c r="AX1413" s="26"/>
      <c r="AY1413" s="26"/>
    </row>
    <row r="1414" spans="1:51" ht="12.75" customHeight="1">
      <c r="A1414" s="26"/>
      <c r="B1414" s="66"/>
      <c r="C1414" s="67"/>
      <c r="D1414" s="67"/>
      <c r="E1414" s="26"/>
      <c r="F1414" s="26"/>
      <c r="G1414" s="26"/>
      <c r="H1414" s="26"/>
      <c r="I1414" s="26"/>
      <c r="J1414" s="26"/>
      <c r="K1414" s="26"/>
      <c r="L1414" s="26"/>
      <c r="M1414" s="26"/>
      <c r="N1414" s="26"/>
      <c r="O1414" s="26"/>
      <c r="P1414" s="26"/>
      <c r="Q1414" s="26"/>
      <c r="R1414" s="26"/>
      <c r="S1414" s="26"/>
      <c r="T1414" s="26"/>
      <c r="U1414" s="26"/>
      <c r="V1414" s="26"/>
      <c r="W1414" s="26"/>
      <c r="X1414" s="26"/>
      <c r="Y1414" s="26"/>
      <c r="Z1414" s="26"/>
      <c r="AA1414" s="26"/>
      <c r="AB1414" s="26"/>
      <c r="AC1414" s="26"/>
      <c r="AD1414" s="26"/>
      <c r="AE1414" s="26"/>
      <c r="AF1414" s="26"/>
      <c r="AG1414" s="26"/>
      <c r="AH1414" s="26"/>
      <c r="AI1414" s="26"/>
      <c r="AJ1414" s="26"/>
      <c r="AK1414" s="26"/>
      <c r="AL1414" s="26"/>
      <c r="AM1414" s="26"/>
      <c r="AN1414" s="26"/>
      <c r="AO1414" s="26"/>
      <c r="AP1414" s="26"/>
      <c r="AQ1414" s="26"/>
      <c r="AR1414" s="26"/>
      <c r="AS1414" s="26"/>
      <c r="AT1414" s="26"/>
      <c r="AU1414" s="26"/>
      <c r="AV1414" s="26"/>
      <c r="AW1414" s="26"/>
      <c r="AX1414" s="26"/>
      <c r="AY1414" s="26"/>
    </row>
    <row r="1415" spans="1:51" ht="12.75" customHeight="1">
      <c r="A1415" s="26"/>
      <c r="B1415" s="66"/>
      <c r="C1415" s="67"/>
      <c r="D1415" s="67"/>
      <c r="E1415" s="26"/>
      <c r="F1415" s="26"/>
      <c r="G1415" s="26"/>
      <c r="H1415" s="26"/>
      <c r="I1415" s="26"/>
      <c r="J1415" s="26"/>
      <c r="K1415" s="26"/>
      <c r="L1415" s="26"/>
      <c r="M1415" s="26"/>
      <c r="N1415" s="26"/>
      <c r="O1415" s="26"/>
      <c r="P1415" s="26"/>
      <c r="Q1415" s="26"/>
      <c r="R1415" s="26"/>
      <c r="S1415" s="26"/>
      <c r="T1415" s="26"/>
      <c r="U1415" s="26"/>
      <c r="V1415" s="26"/>
      <c r="W1415" s="26"/>
      <c r="X1415" s="26"/>
      <c r="Y1415" s="26"/>
      <c r="Z1415" s="26"/>
      <c r="AA1415" s="26"/>
      <c r="AB1415" s="26"/>
      <c r="AC1415" s="26"/>
      <c r="AD1415" s="26"/>
      <c r="AE1415" s="26"/>
      <c r="AF1415" s="26"/>
      <c r="AG1415" s="26"/>
      <c r="AH1415" s="26"/>
      <c r="AI1415" s="26"/>
      <c r="AJ1415" s="26"/>
      <c r="AK1415" s="26"/>
      <c r="AL1415" s="26"/>
      <c r="AM1415" s="26"/>
      <c r="AN1415" s="26"/>
      <c r="AO1415" s="26"/>
      <c r="AP1415" s="26"/>
      <c r="AQ1415" s="26"/>
      <c r="AR1415" s="26"/>
      <c r="AS1415" s="26"/>
      <c r="AT1415" s="26"/>
      <c r="AU1415" s="26"/>
      <c r="AV1415" s="26"/>
      <c r="AW1415" s="26"/>
      <c r="AX1415" s="26"/>
      <c r="AY1415" s="26"/>
    </row>
    <row r="1416" spans="1:51" ht="12.75" customHeight="1">
      <c r="A1416" s="26"/>
      <c r="B1416" s="66"/>
      <c r="C1416" s="67"/>
      <c r="D1416" s="67"/>
      <c r="E1416" s="26"/>
      <c r="F1416" s="26"/>
      <c r="G1416" s="26"/>
      <c r="H1416" s="26"/>
      <c r="I1416" s="26"/>
      <c r="J1416" s="26"/>
      <c r="K1416" s="26"/>
      <c r="L1416" s="26"/>
      <c r="M1416" s="26"/>
      <c r="N1416" s="26"/>
      <c r="O1416" s="26"/>
      <c r="P1416" s="26"/>
      <c r="Q1416" s="26"/>
      <c r="R1416" s="26"/>
      <c r="S1416" s="26"/>
      <c r="T1416" s="26"/>
      <c r="U1416" s="26"/>
      <c r="V1416" s="26"/>
      <c r="W1416" s="26"/>
      <c r="X1416" s="26"/>
      <c r="Y1416" s="26"/>
      <c r="Z1416" s="26"/>
      <c r="AA1416" s="26"/>
      <c r="AB1416" s="26"/>
      <c r="AC1416" s="26"/>
      <c r="AD1416" s="26"/>
      <c r="AE1416" s="26"/>
      <c r="AF1416" s="26"/>
      <c r="AG1416" s="26"/>
      <c r="AH1416" s="26"/>
      <c r="AI1416" s="26"/>
      <c r="AJ1416" s="26"/>
      <c r="AK1416" s="26"/>
      <c r="AL1416" s="26"/>
      <c r="AM1416" s="26"/>
      <c r="AN1416" s="26"/>
      <c r="AO1416" s="26"/>
      <c r="AP1416" s="26"/>
      <c r="AQ1416" s="26"/>
      <c r="AR1416" s="26"/>
      <c r="AS1416" s="26"/>
      <c r="AT1416" s="26"/>
      <c r="AU1416" s="26"/>
      <c r="AV1416" s="26"/>
      <c r="AW1416" s="26"/>
      <c r="AX1416" s="26"/>
      <c r="AY1416" s="26"/>
    </row>
    <row r="1417" spans="1:51" ht="12.75" customHeight="1">
      <c r="A1417" s="26"/>
      <c r="B1417" s="66"/>
      <c r="C1417" s="67"/>
      <c r="D1417" s="67"/>
      <c r="E1417" s="26"/>
      <c r="F1417" s="26"/>
      <c r="G1417" s="26"/>
      <c r="H1417" s="26"/>
      <c r="I1417" s="26"/>
      <c r="J1417" s="26"/>
      <c r="K1417" s="26"/>
      <c r="L1417" s="26"/>
      <c r="M1417" s="26"/>
      <c r="N1417" s="26"/>
      <c r="O1417" s="26"/>
      <c r="P1417" s="26"/>
      <c r="Q1417" s="26"/>
      <c r="R1417" s="26"/>
      <c r="S1417" s="26"/>
      <c r="T1417" s="26"/>
      <c r="U1417" s="26"/>
      <c r="V1417" s="26"/>
      <c r="W1417" s="26"/>
      <c r="X1417" s="26"/>
      <c r="Y1417" s="26"/>
      <c r="Z1417" s="26"/>
      <c r="AA1417" s="26"/>
      <c r="AB1417" s="26"/>
      <c r="AC1417" s="26"/>
      <c r="AD1417" s="26"/>
      <c r="AE1417" s="26"/>
      <c r="AF1417" s="26"/>
      <c r="AG1417" s="26"/>
      <c r="AH1417" s="26"/>
      <c r="AI1417" s="26"/>
      <c r="AJ1417" s="26"/>
      <c r="AK1417" s="26"/>
      <c r="AL1417" s="26"/>
      <c r="AM1417" s="26"/>
      <c r="AN1417" s="26"/>
      <c r="AO1417" s="26"/>
      <c r="AP1417" s="26"/>
      <c r="AQ1417" s="26"/>
      <c r="AR1417" s="26"/>
      <c r="AS1417" s="26"/>
      <c r="AT1417" s="26"/>
      <c r="AU1417" s="26"/>
      <c r="AV1417" s="26"/>
      <c r="AW1417" s="26"/>
      <c r="AX1417" s="26"/>
      <c r="AY1417" s="26"/>
    </row>
    <row r="1418" spans="1:51" ht="12.75" customHeight="1">
      <c r="A1418" s="26"/>
      <c r="B1418" s="66"/>
      <c r="C1418" s="67"/>
      <c r="D1418" s="67"/>
      <c r="E1418" s="26"/>
      <c r="F1418" s="26"/>
      <c r="G1418" s="26"/>
      <c r="H1418" s="26"/>
      <c r="I1418" s="26"/>
      <c r="J1418" s="26"/>
      <c r="K1418" s="26"/>
      <c r="L1418" s="26"/>
      <c r="M1418" s="26"/>
      <c r="N1418" s="26"/>
      <c r="O1418" s="26"/>
      <c r="P1418" s="26"/>
      <c r="Q1418" s="26"/>
      <c r="R1418" s="26"/>
      <c r="S1418" s="26"/>
      <c r="T1418" s="26"/>
      <c r="U1418" s="26"/>
      <c r="V1418" s="26"/>
      <c r="W1418" s="26"/>
      <c r="X1418" s="26"/>
      <c r="Y1418" s="26"/>
      <c r="Z1418" s="26"/>
      <c r="AA1418" s="26"/>
      <c r="AB1418" s="26"/>
      <c r="AC1418" s="26"/>
      <c r="AD1418" s="26"/>
      <c r="AE1418" s="26"/>
      <c r="AF1418" s="26"/>
      <c r="AG1418" s="26"/>
      <c r="AH1418" s="26"/>
      <c r="AI1418" s="26"/>
      <c r="AJ1418" s="26"/>
      <c r="AK1418" s="26"/>
      <c r="AL1418" s="26"/>
      <c r="AM1418" s="26"/>
      <c r="AN1418" s="26"/>
      <c r="AO1418" s="26"/>
      <c r="AP1418" s="26"/>
      <c r="AQ1418" s="26"/>
      <c r="AR1418" s="26"/>
      <c r="AS1418" s="26"/>
      <c r="AT1418" s="26"/>
      <c r="AU1418" s="26"/>
      <c r="AV1418" s="26"/>
      <c r="AW1418" s="26"/>
      <c r="AX1418" s="26"/>
      <c r="AY1418" s="26"/>
    </row>
    <row r="1419" spans="1:51" ht="12.75" customHeight="1">
      <c r="A1419" s="26"/>
      <c r="B1419" s="66"/>
      <c r="C1419" s="67"/>
      <c r="D1419" s="67"/>
      <c r="E1419" s="26"/>
      <c r="F1419" s="26"/>
      <c r="G1419" s="26"/>
      <c r="H1419" s="26"/>
      <c r="I1419" s="26"/>
      <c r="J1419" s="26"/>
      <c r="K1419" s="26"/>
      <c r="L1419" s="26"/>
      <c r="M1419" s="26"/>
      <c r="N1419" s="26"/>
      <c r="O1419" s="26"/>
      <c r="P1419" s="26"/>
      <c r="Q1419" s="26"/>
      <c r="R1419" s="26"/>
      <c r="S1419" s="26"/>
      <c r="T1419" s="26"/>
      <c r="U1419" s="26"/>
      <c r="V1419" s="26"/>
      <c r="W1419" s="26"/>
      <c r="X1419" s="26"/>
      <c r="Y1419" s="26"/>
      <c r="Z1419" s="26"/>
      <c r="AA1419" s="26"/>
      <c r="AB1419" s="26"/>
      <c r="AC1419" s="26"/>
      <c r="AD1419" s="26"/>
      <c r="AE1419" s="26"/>
      <c r="AF1419" s="26"/>
      <c r="AG1419" s="26"/>
      <c r="AH1419" s="26"/>
      <c r="AI1419" s="26"/>
      <c r="AJ1419" s="26"/>
      <c r="AK1419" s="26"/>
      <c r="AL1419" s="26"/>
      <c r="AM1419" s="26"/>
      <c r="AN1419" s="26"/>
      <c r="AO1419" s="26"/>
      <c r="AP1419" s="26"/>
      <c r="AQ1419" s="26"/>
      <c r="AR1419" s="26"/>
      <c r="AS1419" s="26"/>
      <c r="AT1419" s="26"/>
      <c r="AU1419" s="26"/>
      <c r="AV1419" s="26"/>
      <c r="AW1419" s="26"/>
      <c r="AX1419" s="26"/>
      <c r="AY1419" s="26"/>
    </row>
    <row r="1420" spans="1:51" ht="12.75" customHeight="1">
      <c r="A1420" s="26"/>
      <c r="B1420" s="66"/>
      <c r="C1420" s="67"/>
      <c r="D1420" s="67"/>
      <c r="E1420" s="26"/>
      <c r="F1420" s="26"/>
      <c r="G1420" s="26"/>
      <c r="H1420" s="26"/>
      <c r="I1420" s="26"/>
      <c r="J1420" s="26"/>
      <c r="K1420" s="26"/>
      <c r="L1420" s="26"/>
      <c r="M1420" s="26"/>
      <c r="N1420" s="26"/>
      <c r="O1420" s="26"/>
      <c r="P1420" s="26"/>
      <c r="Q1420" s="26"/>
      <c r="R1420" s="26"/>
      <c r="S1420" s="26"/>
      <c r="T1420" s="26"/>
      <c r="U1420" s="26"/>
      <c r="V1420" s="26"/>
      <c r="W1420" s="26"/>
      <c r="X1420" s="26"/>
      <c r="Y1420" s="26"/>
      <c r="Z1420" s="26"/>
      <c r="AA1420" s="26"/>
      <c r="AB1420" s="26"/>
      <c r="AC1420" s="26"/>
      <c r="AD1420" s="26"/>
      <c r="AE1420" s="26"/>
      <c r="AF1420" s="26"/>
      <c r="AG1420" s="26"/>
      <c r="AH1420" s="26"/>
      <c r="AI1420" s="26"/>
      <c r="AJ1420" s="26"/>
      <c r="AK1420" s="26"/>
      <c r="AL1420" s="26"/>
      <c r="AM1420" s="26"/>
      <c r="AN1420" s="26"/>
      <c r="AO1420" s="26"/>
      <c r="AP1420" s="26"/>
      <c r="AQ1420" s="26"/>
      <c r="AR1420" s="26"/>
      <c r="AS1420" s="26"/>
      <c r="AT1420" s="26"/>
      <c r="AU1420" s="26"/>
      <c r="AV1420" s="26"/>
      <c r="AW1420" s="26"/>
      <c r="AX1420" s="26"/>
      <c r="AY1420" s="26"/>
    </row>
    <row r="1421" spans="1:51" ht="12.75" customHeight="1">
      <c r="A1421" s="26"/>
      <c r="B1421" s="66"/>
      <c r="C1421" s="67"/>
      <c r="D1421" s="67"/>
      <c r="E1421" s="26"/>
      <c r="F1421" s="26"/>
      <c r="G1421" s="26"/>
      <c r="H1421" s="26"/>
      <c r="I1421" s="26"/>
      <c r="J1421" s="26"/>
      <c r="K1421" s="26"/>
      <c r="L1421" s="26"/>
      <c r="M1421" s="26"/>
      <c r="N1421" s="26"/>
      <c r="O1421" s="26"/>
      <c r="P1421" s="26"/>
      <c r="Q1421" s="26"/>
      <c r="R1421" s="26"/>
      <c r="S1421" s="26"/>
      <c r="T1421" s="26"/>
      <c r="U1421" s="26"/>
      <c r="V1421" s="26"/>
      <c r="W1421" s="26"/>
      <c r="X1421" s="26"/>
      <c r="Y1421" s="26"/>
      <c r="Z1421" s="26"/>
      <c r="AA1421" s="26"/>
      <c r="AB1421" s="26"/>
      <c r="AC1421" s="26"/>
      <c r="AD1421" s="26"/>
      <c r="AE1421" s="26"/>
      <c r="AF1421" s="26"/>
      <c r="AG1421" s="26"/>
      <c r="AH1421" s="26"/>
      <c r="AI1421" s="26"/>
      <c r="AJ1421" s="26"/>
      <c r="AK1421" s="26"/>
      <c r="AL1421" s="26"/>
      <c r="AM1421" s="26"/>
      <c r="AN1421" s="26"/>
      <c r="AO1421" s="26"/>
      <c r="AP1421" s="26"/>
      <c r="AQ1421" s="26"/>
      <c r="AR1421" s="26"/>
      <c r="AS1421" s="26"/>
      <c r="AT1421" s="26"/>
      <c r="AU1421" s="26"/>
      <c r="AV1421" s="26"/>
      <c r="AW1421" s="26"/>
      <c r="AX1421" s="26"/>
      <c r="AY1421" s="26"/>
    </row>
    <row r="1422" spans="1:51" ht="12.75" customHeight="1">
      <c r="A1422" s="26"/>
      <c r="B1422" s="66"/>
      <c r="C1422" s="67"/>
      <c r="D1422" s="67"/>
      <c r="E1422" s="26"/>
      <c r="F1422" s="26"/>
      <c r="G1422" s="26"/>
      <c r="H1422" s="26"/>
      <c r="I1422" s="26"/>
      <c r="J1422" s="26"/>
      <c r="K1422" s="26"/>
      <c r="L1422" s="26"/>
      <c r="M1422" s="26"/>
      <c r="N1422" s="26"/>
      <c r="O1422" s="26"/>
      <c r="P1422" s="26"/>
      <c r="Q1422" s="26"/>
      <c r="R1422" s="26"/>
      <c r="S1422" s="26"/>
      <c r="T1422" s="26"/>
      <c r="U1422" s="26"/>
      <c r="V1422" s="26"/>
      <c r="W1422" s="26"/>
      <c r="X1422" s="26"/>
      <c r="Y1422" s="26"/>
      <c r="Z1422" s="26"/>
      <c r="AA1422" s="26"/>
      <c r="AB1422" s="26"/>
      <c r="AC1422" s="26"/>
      <c r="AD1422" s="26"/>
      <c r="AE1422" s="26"/>
      <c r="AF1422" s="26"/>
      <c r="AG1422" s="26"/>
      <c r="AH1422" s="26"/>
      <c r="AI1422" s="26"/>
      <c r="AJ1422" s="26"/>
      <c r="AK1422" s="26"/>
      <c r="AL1422" s="26"/>
      <c r="AM1422" s="26"/>
      <c r="AN1422" s="26"/>
      <c r="AO1422" s="26"/>
      <c r="AP1422" s="26"/>
      <c r="AQ1422" s="26"/>
      <c r="AR1422" s="26"/>
      <c r="AS1422" s="26"/>
      <c r="AT1422" s="26"/>
      <c r="AU1422" s="26"/>
      <c r="AV1422" s="26"/>
      <c r="AW1422" s="26"/>
      <c r="AX1422" s="26"/>
      <c r="AY1422" s="26"/>
    </row>
    <row r="1423" spans="1:51" ht="12.75" customHeight="1">
      <c r="A1423" s="26"/>
      <c r="B1423" s="66"/>
      <c r="C1423" s="67"/>
      <c r="D1423" s="67"/>
      <c r="E1423" s="26"/>
      <c r="F1423" s="26"/>
      <c r="G1423" s="26"/>
      <c r="H1423" s="26"/>
      <c r="I1423" s="26"/>
      <c r="J1423" s="26"/>
      <c r="K1423" s="26"/>
      <c r="L1423" s="26"/>
      <c r="M1423" s="26"/>
      <c r="N1423" s="26"/>
      <c r="O1423" s="26"/>
      <c r="P1423" s="26"/>
      <c r="Q1423" s="26"/>
      <c r="R1423" s="26"/>
      <c r="S1423" s="26"/>
      <c r="T1423" s="26"/>
      <c r="U1423" s="26"/>
      <c r="V1423" s="26"/>
      <c r="W1423" s="26"/>
      <c r="X1423" s="26"/>
      <c r="Y1423" s="26"/>
      <c r="Z1423" s="26"/>
      <c r="AA1423" s="26"/>
      <c r="AB1423" s="26"/>
      <c r="AC1423" s="26"/>
      <c r="AD1423" s="26"/>
      <c r="AE1423" s="26"/>
      <c r="AF1423" s="26"/>
      <c r="AG1423" s="26"/>
      <c r="AH1423" s="26"/>
      <c r="AI1423" s="26"/>
      <c r="AJ1423" s="26"/>
      <c r="AK1423" s="26"/>
      <c r="AL1423" s="26"/>
      <c r="AM1423" s="26"/>
      <c r="AN1423" s="26"/>
      <c r="AO1423" s="26"/>
      <c r="AP1423" s="26"/>
      <c r="AQ1423" s="26"/>
      <c r="AR1423" s="26"/>
      <c r="AS1423" s="26"/>
      <c r="AT1423" s="26"/>
      <c r="AU1423" s="26"/>
      <c r="AV1423" s="26"/>
      <c r="AW1423" s="26"/>
      <c r="AX1423" s="26"/>
      <c r="AY1423" s="26"/>
    </row>
    <row r="1424" spans="1:51" ht="12.75" customHeight="1">
      <c r="A1424" s="26"/>
      <c r="B1424" s="66"/>
      <c r="C1424" s="67"/>
      <c r="D1424" s="67"/>
      <c r="E1424" s="26"/>
      <c r="F1424" s="26"/>
      <c r="G1424" s="26"/>
      <c r="H1424" s="26"/>
      <c r="I1424" s="26"/>
      <c r="J1424" s="26"/>
      <c r="K1424" s="26"/>
      <c r="L1424" s="26"/>
      <c r="M1424" s="26"/>
      <c r="N1424" s="26"/>
      <c r="O1424" s="26"/>
      <c r="P1424" s="26"/>
      <c r="Q1424" s="26"/>
      <c r="R1424" s="26"/>
      <c r="S1424" s="26"/>
      <c r="T1424" s="26"/>
      <c r="U1424" s="26"/>
      <c r="V1424" s="26"/>
      <c r="W1424" s="26"/>
      <c r="X1424" s="26"/>
      <c r="Y1424" s="26"/>
      <c r="Z1424" s="26"/>
      <c r="AA1424" s="26"/>
      <c r="AB1424" s="26"/>
      <c r="AC1424" s="26"/>
      <c r="AD1424" s="26"/>
      <c r="AE1424" s="26"/>
      <c r="AF1424" s="26"/>
      <c r="AG1424" s="26"/>
      <c r="AH1424" s="26"/>
      <c r="AI1424" s="26"/>
      <c r="AJ1424" s="26"/>
      <c r="AK1424" s="26"/>
      <c r="AL1424" s="26"/>
      <c r="AM1424" s="26"/>
      <c r="AN1424" s="26"/>
      <c r="AO1424" s="26"/>
      <c r="AP1424" s="26"/>
      <c r="AQ1424" s="26"/>
      <c r="AR1424" s="26"/>
      <c r="AS1424" s="26"/>
      <c r="AT1424" s="26"/>
      <c r="AU1424" s="26"/>
      <c r="AV1424" s="26"/>
      <c r="AW1424" s="26"/>
      <c r="AX1424" s="26"/>
      <c r="AY1424" s="26"/>
    </row>
    <row r="1425" spans="1:51" ht="12.75" customHeight="1">
      <c r="A1425" s="26"/>
      <c r="B1425" s="66"/>
      <c r="C1425" s="67"/>
      <c r="D1425" s="67"/>
      <c r="E1425" s="26"/>
      <c r="F1425" s="26"/>
      <c r="G1425" s="26"/>
      <c r="H1425" s="26"/>
      <c r="I1425" s="26"/>
      <c r="J1425" s="26"/>
      <c r="K1425" s="26"/>
      <c r="L1425" s="26"/>
      <c r="M1425" s="26"/>
      <c r="N1425" s="26"/>
      <c r="O1425" s="26"/>
      <c r="P1425" s="26"/>
      <c r="Q1425" s="26"/>
      <c r="R1425" s="26"/>
      <c r="S1425" s="26"/>
      <c r="T1425" s="26"/>
      <c r="U1425" s="26"/>
      <c r="V1425" s="26"/>
      <c r="W1425" s="26"/>
      <c r="X1425" s="26"/>
      <c r="Y1425" s="26"/>
      <c r="Z1425" s="26"/>
      <c r="AA1425" s="26"/>
      <c r="AB1425" s="26"/>
      <c r="AC1425" s="26"/>
      <c r="AD1425" s="26"/>
      <c r="AE1425" s="26"/>
      <c r="AF1425" s="26"/>
      <c r="AG1425" s="26"/>
      <c r="AH1425" s="26"/>
      <c r="AI1425" s="26"/>
      <c r="AJ1425" s="26"/>
      <c r="AK1425" s="26"/>
      <c r="AL1425" s="26"/>
      <c r="AM1425" s="26"/>
      <c r="AN1425" s="26"/>
      <c r="AO1425" s="26"/>
      <c r="AP1425" s="26"/>
      <c r="AQ1425" s="26"/>
      <c r="AR1425" s="26"/>
      <c r="AS1425" s="26"/>
      <c r="AT1425" s="26"/>
      <c r="AU1425" s="26"/>
      <c r="AV1425" s="26"/>
      <c r="AW1425" s="26"/>
      <c r="AX1425" s="26"/>
      <c r="AY1425" s="26"/>
    </row>
    <row r="1426" spans="1:51" ht="12.75" customHeight="1">
      <c r="A1426" s="26"/>
      <c r="B1426" s="66"/>
      <c r="C1426" s="67"/>
      <c r="D1426" s="67"/>
      <c r="E1426" s="26"/>
      <c r="F1426" s="26"/>
      <c r="G1426" s="26"/>
      <c r="H1426" s="26"/>
      <c r="I1426" s="26"/>
      <c r="J1426" s="26"/>
      <c r="K1426" s="26"/>
      <c r="L1426" s="26"/>
      <c r="M1426" s="26"/>
      <c r="N1426" s="26"/>
      <c r="O1426" s="26"/>
      <c r="P1426" s="26"/>
      <c r="Q1426" s="26"/>
      <c r="R1426" s="26"/>
      <c r="S1426" s="26"/>
      <c r="T1426" s="26"/>
      <c r="U1426" s="26"/>
      <c r="V1426" s="26"/>
      <c r="W1426" s="26"/>
      <c r="X1426" s="26"/>
      <c r="Y1426" s="26"/>
      <c r="Z1426" s="26"/>
      <c r="AA1426" s="26"/>
      <c r="AB1426" s="26"/>
      <c r="AC1426" s="26"/>
      <c r="AD1426" s="26"/>
      <c r="AE1426" s="26"/>
      <c r="AF1426" s="26"/>
      <c r="AG1426" s="26"/>
      <c r="AH1426" s="26"/>
      <c r="AI1426" s="26"/>
      <c r="AJ1426" s="26"/>
      <c r="AK1426" s="26"/>
      <c r="AL1426" s="26"/>
      <c r="AM1426" s="26"/>
      <c r="AN1426" s="26"/>
      <c r="AO1426" s="26"/>
      <c r="AP1426" s="26"/>
      <c r="AQ1426" s="26"/>
      <c r="AR1426" s="26"/>
      <c r="AS1426" s="26"/>
      <c r="AT1426" s="26"/>
      <c r="AU1426" s="26"/>
      <c r="AV1426" s="26"/>
      <c r="AW1426" s="26"/>
      <c r="AX1426" s="26"/>
      <c r="AY1426" s="26"/>
    </row>
    <row r="1427" spans="1:51" ht="12.75" customHeight="1">
      <c r="A1427" s="26"/>
      <c r="B1427" s="66"/>
      <c r="C1427" s="67"/>
      <c r="D1427" s="67"/>
      <c r="E1427" s="26"/>
      <c r="F1427" s="26"/>
      <c r="G1427" s="26"/>
      <c r="H1427" s="26"/>
      <c r="I1427" s="26"/>
      <c r="J1427" s="26"/>
      <c r="K1427" s="26"/>
      <c r="L1427" s="26"/>
      <c r="M1427" s="26"/>
      <c r="N1427" s="26"/>
      <c r="O1427" s="26"/>
      <c r="P1427" s="26"/>
      <c r="Q1427" s="26"/>
      <c r="R1427" s="26"/>
      <c r="S1427" s="26"/>
      <c r="T1427" s="26"/>
      <c r="U1427" s="26"/>
      <c r="V1427" s="26"/>
      <c r="W1427" s="26"/>
      <c r="X1427" s="26"/>
      <c r="Y1427" s="26"/>
      <c r="Z1427" s="26"/>
      <c r="AA1427" s="26"/>
      <c r="AB1427" s="26"/>
      <c r="AC1427" s="26"/>
      <c r="AD1427" s="26"/>
      <c r="AE1427" s="26"/>
      <c r="AF1427" s="26"/>
      <c r="AG1427" s="26"/>
      <c r="AH1427" s="26"/>
      <c r="AI1427" s="26"/>
      <c r="AJ1427" s="26"/>
      <c r="AK1427" s="26"/>
      <c r="AL1427" s="26"/>
      <c r="AM1427" s="26"/>
      <c r="AN1427" s="26"/>
      <c r="AO1427" s="26"/>
      <c r="AP1427" s="26"/>
      <c r="AQ1427" s="26"/>
      <c r="AR1427" s="26"/>
      <c r="AS1427" s="26"/>
      <c r="AT1427" s="26"/>
      <c r="AU1427" s="26"/>
      <c r="AV1427" s="26"/>
      <c r="AW1427" s="26"/>
      <c r="AX1427" s="26"/>
      <c r="AY1427" s="26"/>
    </row>
    <row r="1428" spans="1:51" ht="12.75" customHeight="1">
      <c r="A1428" s="26"/>
      <c r="B1428" s="66"/>
      <c r="C1428" s="67"/>
      <c r="D1428" s="67"/>
      <c r="E1428" s="26"/>
      <c r="F1428" s="26"/>
      <c r="G1428" s="26"/>
      <c r="H1428" s="26"/>
      <c r="I1428" s="26"/>
      <c r="J1428" s="26"/>
      <c r="K1428" s="26"/>
      <c r="L1428" s="26"/>
      <c r="M1428" s="26"/>
      <c r="N1428" s="26"/>
      <c r="O1428" s="26"/>
      <c r="P1428" s="26"/>
      <c r="Q1428" s="26"/>
      <c r="R1428" s="26"/>
      <c r="S1428" s="26"/>
      <c r="T1428" s="26"/>
      <c r="U1428" s="26"/>
      <c r="V1428" s="26"/>
      <c r="W1428" s="26"/>
      <c r="X1428" s="26"/>
      <c r="Y1428" s="26"/>
      <c r="Z1428" s="26"/>
      <c r="AA1428" s="26"/>
      <c r="AB1428" s="26"/>
      <c r="AC1428" s="26"/>
      <c r="AD1428" s="26"/>
      <c r="AE1428" s="26"/>
      <c r="AF1428" s="26"/>
      <c r="AG1428" s="26"/>
      <c r="AH1428" s="26"/>
      <c r="AI1428" s="26"/>
      <c r="AJ1428" s="26"/>
      <c r="AK1428" s="26"/>
      <c r="AL1428" s="26"/>
      <c r="AM1428" s="26"/>
      <c r="AN1428" s="26"/>
      <c r="AO1428" s="26"/>
      <c r="AP1428" s="26"/>
      <c r="AQ1428" s="26"/>
      <c r="AR1428" s="26"/>
      <c r="AS1428" s="26"/>
      <c r="AT1428" s="26"/>
      <c r="AU1428" s="26"/>
      <c r="AV1428" s="26"/>
      <c r="AW1428" s="26"/>
      <c r="AX1428" s="26"/>
      <c r="AY1428" s="26"/>
    </row>
    <row r="1429" spans="1:51" ht="12.75" customHeight="1">
      <c r="A1429" s="26"/>
      <c r="B1429" s="66"/>
      <c r="C1429" s="67"/>
      <c r="D1429" s="67"/>
      <c r="E1429" s="26"/>
      <c r="F1429" s="26"/>
      <c r="G1429" s="26"/>
      <c r="H1429" s="26"/>
      <c r="I1429" s="26"/>
      <c r="J1429" s="26"/>
      <c r="K1429" s="26"/>
      <c r="L1429" s="26"/>
      <c r="M1429" s="26"/>
      <c r="N1429" s="26"/>
      <c r="O1429" s="26"/>
      <c r="P1429" s="26"/>
      <c r="Q1429" s="26"/>
      <c r="R1429" s="26"/>
      <c r="S1429" s="26"/>
      <c r="T1429" s="26"/>
      <c r="U1429" s="26"/>
      <c r="V1429" s="26"/>
      <c r="W1429" s="26"/>
      <c r="X1429" s="26"/>
      <c r="Y1429" s="26"/>
      <c r="Z1429" s="26"/>
      <c r="AA1429" s="26"/>
      <c r="AB1429" s="26"/>
      <c r="AC1429" s="26"/>
      <c r="AD1429" s="26"/>
      <c r="AE1429" s="26"/>
      <c r="AF1429" s="26"/>
      <c r="AG1429" s="26"/>
      <c r="AH1429" s="26"/>
      <c r="AI1429" s="26"/>
      <c r="AJ1429" s="26"/>
      <c r="AK1429" s="26"/>
      <c r="AL1429" s="26"/>
      <c r="AM1429" s="26"/>
      <c r="AN1429" s="26"/>
      <c r="AO1429" s="26"/>
      <c r="AP1429" s="26"/>
      <c r="AQ1429" s="26"/>
      <c r="AR1429" s="26"/>
      <c r="AS1429" s="26"/>
      <c r="AT1429" s="26"/>
      <c r="AU1429" s="26"/>
      <c r="AV1429" s="26"/>
      <c r="AW1429" s="26"/>
      <c r="AX1429" s="26"/>
      <c r="AY1429" s="26"/>
    </row>
    <row r="1430" spans="1:51" ht="12.75" customHeight="1">
      <c r="A1430" s="26"/>
      <c r="B1430" s="66"/>
      <c r="C1430" s="67"/>
      <c r="D1430" s="67"/>
      <c r="E1430" s="26"/>
      <c r="F1430" s="26"/>
      <c r="G1430" s="26"/>
      <c r="H1430" s="26"/>
      <c r="I1430" s="26"/>
      <c r="J1430" s="26"/>
      <c r="K1430" s="26"/>
      <c r="L1430" s="26"/>
      <c r="M1430" s="26"/>
      <c r="N1430" s="26"/>
      <c r="O1430" s="26"/>
      <c r="P1430" s="26"/>
      <c r="Q1430" s="26"/>
      <c r="R1430" s="26"/>
      <c r="S1430" s="26"/>
      <c r="T1430" s="26"/>
      <c r="U1430" s="26"/>
      <c r="V1430" s="26"/>
      <c r="W1430" s="26"/>
      <c r="X1430" s="26"/>
      <c r="Y1430" s="26"/>
      <c r="Z1430" s="26"/>
      <c r="AA1430" s="26"/>
      <c r="AB1430" s="26"/>
      <c r="AC1430" s="26"/>
      <c r="AD1430" s="26"/>
      <c r="AE1430" s="26"/>
      <c r="AF1430" s="26"/>
      <c r="AG1430" s="26"/>
      <c r="AH1430" s="26"/>
      <c r="AI1430" s="26"/>
      <c r="AJ1430" s="26"/>
      <c r="AK1430" s="26"/>
      <c r="AL1430" s="26"/>
      <c r="AM1430" s="26"/>
      <c r="AN1430" s="26"/>
      <c r="AO1430" s="26"/>
      <c r="AP1430" s="26"/>
      <c r="AQ1430" s="26"/>
      <c r="AR1430" s="26"/>
      <c r="AS1430" s="26"/>
      <c r="AT1430" s="26"/>
      <c r="AU1430" s="26"/>
      <c r="AV1430" s="26"/>
      <c r="AW1430" s="26"/>
      <c r="AX1430" s="26"/>
      <c r="AY1430" s="26"/>
    </row>
    <row r="1431" spans="1:51" ht="12.75" customHeight="1">
      <c r="A1431" s="26"/>
      <c r="B1431" s="66"/>
      <c r="C1431" s="67"/>
      <c r="D1431" s="67"/>
      <c r="E1431" s="26"/>
      <c r="F1431" s="26"/>
      <c r="G1431" s="26"/>
      <c r="H1431" s="26"/>
      <c r="I1431" s="26"/>
      <c r="J1431" s="26"/>
      <c r="K1431" s="26"/>
      <c r="L1431" s="26"/>
      <c r="M1431" s="26"/>
      <c r="N1431" s="26"/>
      <c r="O1431" s="26"/>
      <c r="P1431" s="26"/>
      <c r="Q1431" s="26"/>
      <c r="R1431" s="26"/>
      <c r="S1431" s="26"/>
      <c r="T1431" s="26"/>
      <c r="U1431" s="26"/>
      <c r="V1431" s="26"/>
      <c r="W1431" s="26"/>
      <c r="X1431" s="26"/>
      <c r="Y1431" s="26"/>
      <c r="Z1431" s="26"/>
      <c r="AA1431" s="26"/>
      <c r="AB1431" s="26"/>
      <c r="AC1431" s="26"/>
      <c r="AD1431" s="26"/>
      <c r="AE1431" s="26"/>
      <c r="AF1431" s="26"/>
      <c r="AG1431" s="26"/>
      <c r="AH1431" s="26"/>
      <c r="AI1431" s="26"/>
      <c r="AJ1431" s="26"/>
      <c r="AK1431" s="26"/>
      <c r="AL1431" s="26"/>
      <c r="AM1431" s="26"/>
      <c r="AN1431" s="26"/>
      <c r="AO1431" s="26"/>
      <c r="AP1431" s="26"/>
      <c r="AQ1431" s="26"/>
      <c r="AR1431" s="26"/>
      <c r="AS1431" s="26"/>
      <c r="AT1431" s="26"/>
      <c r="AU1431" s="26"/>
      <c r="AV1431" s="26"/>
      <c r="AW1431" s="26"/>
      <c r="AX1431" s="26"/>
      <c r="AY1431" s="26"/>
    </row>
    <row r="1432" spans="1:51" ht="12.75" customHeight="1">
      <c r="A1432" s="26"/>
      <c r="B1432" s="66"/>
      <c r="C1432" s="67"/>
      <c r="D1432" s="67"/>
      <c r="E1432" s="26"/>
      <c r="F1432" s="26"/>
      <c r="G1432" s="26"/>
      <c r="H1432" s="26"/>
      <c r="I1432" s="26"/>
      <c r="J1432" s="26"/>
      <c r="K1432" s="26"/>
      <c r="L1432" s="26"/>
      <c r="M1432" s="26"/>
      <c r="N1432" s="26"/>
      <c r="O1432" s="26"/>
      <c r="P1432" s="26"/>
      <c r="Q1432" s="26"/>
      <c r="R1432" s="26"/>
      <c r="S1432" s="26"/>
      <c r="T1432" s="26"/>
      <c r="U1432" s="26"/>
      <c r="V1432" s="26"/>
      <c r="W1432" s="26"/>
      <c r="X1432" s="26"/>
      <c r="Y1432" s="26"/>
      <c r="Z1432" s="26"/>
      <c r="AA1432" s="26"/>
      <c r="AB1432" s="26"/>
      <c r="AC1432" s="26"/>
      <c r="AD1432" s="26"/>
      <c r="AE1432" s="26"/>
      <c r="AF1432" s="26"/>
      <c r="AG1432" s="26"/>
      <c r="AH1432" s="26"/>
      <c r="AI1432" s="26"/>
      <c r="AJ1432" s="26"/>
      <c r="AK1432" s="26"/>
      <c r="AL1432" s="26"/>
      <c r="AM1432" s="26"/>
      <c r="AN1432" s="26"/>
      <c r="AO1432" s="26"/>
      <c r="AP1432" s="26"/>
      <c r="AQ1432" s="26"/>
      <c r="AR1432" s="26"/>
      <c r="AS1432" s="26"/>
      <c r="AT1432" s="26"/>
      <c r="AU1432" s="26"/>
      <c r="AV1432" s="26"/>
      <c r="AW1432" s="26"/>
      <c r="AX1432" s="26"/>
      <c r="AY1432" s="26"/>
    </row>
    <row r="1433" spans="1:51" ht="12.75" customHeight="1">
      <c r="A1433" s="26"/>
      <c r="B1433" s="66"/>
      <c r="C1433" s="67"/>
      <c r="D1433" s="67"/>
      <c r="E1433" s="26"/>
      <c r="F1433" s="26"/>
      <c r="G1433" s="26"/>
      <c r="H1433" s="26"/>
      <c r="I1433" s="26"/>
      <c r="J1433" s="26"/>
      <c r="K1433" s="26"/>
      <c r="L1433" s="26"/>
      <c r="M1433" s="26"/>
      <c r="N1433" s="26"/>
      <c r="O1433" s="26"/>
      <c r="P1433" s="26"/>
      <c r="Q1433" s="26"/>
      <c r="R1433" s="26"/>
      <c r="S1433" s="26"/>
      <c r="T1433" s="26"/>
      <c r="U1433" s="26"/>
      <c r="V1433" s="26"/>
      <c r="W1433" s="26"/>
      <c r="X1433" s="26"/>
      <c r="Y1433" s="26"/>
      <c r="Z1433" s="26"/>
      <c r="AA1433" s="26"/>
      <c r="AB1433" s="26"/>
      <c r="AC1433" s="26"/>
      <c r="AD1433" s="26"/>
      <c r="AE1433" s="26"/>
      <c r="AF1433" s="26"/>
      <c r="AG1433" s="26"/>
      <c r="AH1433" s="26"/>
      <c r="AI1433" s="26"/>
      <c r="AJ1433" s="26"/>
      <c r="AK1433" s="26"/>
      <c r="AL1433" s="26"/>
      <c r="AM1433" s="26"/>
      <c r="AN1433" s="26"/>
      <c r="AO1433" s="26"/>
      <c r="AP1433" s="26"/>
      <c r="AQ1433" s="26"/>
      <c r="AR1433" s="26"/>
      <c r="AS1433" s="26"/>
      <c r="AT1433" s="26"/>
      <c r="AU1433" s="26"/>
      <c r="AV1433" s="26"/>
      <c r="AW1433" s="26"/>
      <c r="AX1433" s="26"/>
      <c r="AY1433" s="26"/>
    </row>
    <row r="1434" spans="1:51" ht="12.75" customHeight="1">
      <c r="A1434" s="26"/>
      <c r="B1434" s="66"/>
      <c r="C1434" s="67"/>
      <c r="D1434" s="67"/>
      <c r="E1434" s="26"/>
      <c r="F1434" s="26"/>
      <c r="G1434" s="26"/>
      <c r="H1434" s="26"/>
      <c r="I1434" s="26"/>
      <c r="J1434" s="26"/>
      <c r="K1434" s="26"/>
      <c r="L1434" s="26"/>
      <c r="M1434" s="26"/>
      <c r="N1434" s="26"/>
      <c r="O1434" s="26"/>
      <c r="P1434" s="26"/>
      <c r="Q1434" s="26"/>
      <c r="R1434" s="26"/>
      <c r="S1434" s="26"/>
      <c r="T1434" s="26"/>
      <c r="U1434" s="26"/>
      <c r="V1434" s="26"/>
      <c r="W1434" s="26"/>
      <c r="X1434" s="26"/>
      <c r="Y1434" s="26"/>
      <c r="Z1434" s="26"/>
      <c r="AA1434" s="26"/>
      <c r="AB1434" s="26"/>
      <c r="AC1434" s="26"/>
      <c r="AD1434" s="26"/>
      <c r="AE1434" s="26"/>
      <c r="AF1434" s="26"/>
      <c r="AG1434" s="26"/>
      <c r="AH1434" s="26"/>
      <c r="AI1434" s="26"/>
      <c r="AJ1434" s="26"/>
      <c r="AK1434" s="26"/>
      <c r="AL1434" s="26"/>
      <c r="AM1434" s="26"/>
      <c r="AN1434" s="26"/>
      <c r="AO1434" s="26"/>
      <c r="AP1434" s="26"/>
      <c r="AQ1434" s="26"/>
      <c r="AR1434" s="26"/>
      <c r="AS1434" s="26"/>
      <c r="AT1434" s="26"/>
      <c r="AU1434" s="26"/>
      <c r="AV1434" s="26"/>
      <c r="AW1434" s="26"/>
      <c r="AX1434" s="26"/>
      <c r="AY1434" s="26"/>
    </row>
    <row r="1435" spans="1:51" ht="12.75" customHeight="1">
      <c r="A1435" s="26"/>
      <c r="B1435" s="66"/>
      <c r="C1435" s="67"/>
      <c r="D1435" s="67"/>
      <c r="E1435" s="26"/>
      <c r="F1435" s="26"/>
      <c r="G1435" s="26"/>
      <c r="H1435" s="26"/>
      <c r="I1435" s="26"/>
      <c r="J1435" s="26"/>
      <c r="K1435" s="26"/>
      <c r="L1435" s="26"/>
      <c r="M1435" s="26"/>
      <c r="N1435" s="26"/>
      <c r="O1435" s="26"/>
      <c r="P1435" s="26"/>
      <c r="Q1435" s="26"/>
      <c r="R1435" s="26"/>
      <c r="S1435" s="26"/>
      <c r="T1435" s="26"/>
      <c r="U1435" s="26"/>
      <c r="V1435" s="26"/>
      <c r="W1435" s="26"/>
      <c r="X1435" s="26"/>
      <c r="Y1435" s="26"/>
      <c r="Z1435" s="26"/>
      <c r="AA1435" s="26"/>
      <c r="AB1435" s="26"/>
      <c r="AC1435" s="26"/>
      <c r="AD1435" s="26"/>
      <c r="AE1435" s="26"/>
      <c r="AF1435" s="26"/>
      <c r="AG1435" s="26"/>
      <c r="AH1435" s="26"/>
      <c r="AI1435" s="26"/>
      <c r="AJ1435" s="26"/>
      <c r="AK1435" s="26"/>
      <c r="AL1435" s="26"/>
      <c r="AM1435" s="26"/>
      <c r="AN1435" s="26"/>
      <c r="AO1435" s="26"/>
      <c r="AP1435" s="26"/>
      <c r="AQ1435" s="26"/>
      <c r="AR1435" s="26"/>
      <c r="AS1435" s="26"/>
      <c r="AT1435" s="26"/>
      <c r="AU1435" s="26"/>
      <c r="AV1435" s="26"/>
      <c r="AW1435" s="26"/>
      <c r="AX1435" s="26"/>
      <c r="AY1435" s="26"/>
    </row>
    <row r="1436" spans="1:51" ht="12.75" customHeight="1">
      <c r="A1436" s="26"/>
      <c r="B1436" s="66"/>
      <c r="C1436" s="67"/>
      <c r="D1436" s="67"/>
      <c r="E1436" s="26"/>
      <c r="F1436" s="26"/>
      <c r="G1436" s="26"/>
      <c r="H1436" s="26"/>
      <c r="I1436" s="26"/>
      <c r="J1436" s="26"/>
      <c r="K1436" s="26"/>
      <c r="L1436" s="26"/>
      <c r="M1436" s="26"/>
      <c r="N1436" s="26"/>
      <c r="O1436" s="26"/>
      <c r="P1436" s="26"/>
      <c r="Q1436" s="26"/>
      <c r="R1436" s="26"/>
      <c r="S1436" s="26"/>
      <c r="T1436" s="26"/>
      <c r="U1436" s="26"/>
      <c r="V1436" s="26"/>
      <c r="W1436" s="26"/>
      <c r="X1436" s="26"/>
      <c r="Y1436" s="26"/>
      <c r="Z1436" s="26"/>
      <c r="AA1436" s="26"/>
      <c r="AB1436" s="26"/>
      <c r="AC1436" s="26"/>
      <c r="AD1436" s="26"/>
      <c r="AE1436" s="26"/>
      <c r="AF1436" s="26"/>
      <c r="AG1436" s="26"/>
      <c r="AH1436" s="26"/>
      <c r="AI1436" s="26"/>
      <c r="AJ1436" s="26"/>
      <c r="AK1436" s="26"/>
      <c r="AL1436" s="26"/>
      <c r="AM1436" s="26"/>
      <c r="AN1436" s="26"/>
      <c r="AO1436" s="26"/>
      <c r="AP1436" s="26"/>
      <c r="AQ1436" s="26"/>
      <c r="AR1436" s="26"/>
      <c r="AS1436" s="26"/>
      <c r="AT1436" s="26"/>
      <c r="AU1436" s="26"/>
      <c r="AV1436" s="26"/>
      <c r="AW1436" s="26"/>
      <c r="AX1436" s="26"/>
      <c r="AY1436" s="26"/>
    </row>
    <row r="1437" spans="1:51" ht="12.75" customHeight="1">
      <c r="A1437" s="26"/>
      <c r="B1437" s="66"/>
      <c r="C1437" s="67"/>
      <c r="D1437" s="67"/>
      <c r="E1437" s="26"/>
      <c r="F1437" s="26"/>
      <c r="G1437" s="26"/>
      <c r="H1437" s="26"/>
      <c r="I1437" s="26"/>
      <c r="J1437" s="26"/>
      <c r="K1437" s="26"/>
      <c r="L1437" s="26"/>
      <c r="M1437" s="26"/>
      <c r="N1437" s="26"/>
      <c r="O1437" s="26"/>
      <c r="P1437" s="26"/>
      <c r="Q1437" s="26"/>
      <c r="R1437" s="26"/>
      <c r="S1437" s="26"/>
      <c r="T1437" s="26"/>
      <c r="U1437" s="26"/>
      <c r="V1437" s="26"/>
      <c r="W1437" s="26"/>
      <c r="X1437" s="26"/>
      <c r="Y1437" s="26"/>
      <c r="Z1437" s="26"/>
      <c r="AA1437" s="26"/>
      <c r="AB1437" s="26"/>
      <c r="AC1437" s="26"/>
      <c r="AD1437" s="26"/>
      <c r="AE1437" s="26"/>
      <c r="AF1437" s="26"/>
      <c r="AG1437" s="26"/>
      <c r="AH1437" s="26"/>
      <c r="AI1437" s="26"/>
      <c r="AJ1437" s="26"/>
      <c r="AK1437" s="26"/>
      <c r="AL1437" s="26"/>
      <c r="AM1437" s="26"/>
      <c r="AN1437" s="26"/>
      <c r="AO1437" s="26"/>
      <c r="AP1437" s="26"/>
      <c r="AQ1437" s="26"/>
      <c r="AR1437" s="26"/>
      <c r="AS1437" s="26"/>
      <c r="AT1437" s="26"/>
      <c r="AU1437" s="26"/>
      <c r="AV1437" s="26"/>
      <c r="AW1437" s="26"/>
      <c r="AX1437" s="26"/>
      <c r="AY1437" s="26"/>
    </row>
    <row r="1438" spans="1:51" ht="12.75" customHeight="1">
      <c r="A1438" s="26"/>
      <c r="B1438" s="66"/>
      <c r="C1438" s="67"/>
      <c r="D1438" s="67"/>
      <c r="E1438" s="26"/>
      <c r="F1438" s="26"/>
      <c r="G1438" s="26"/>
      <c r="H1438" s="26"/>
      <c r="I1438" s="26"/>
      <c r="J1438" s="26"/>
      <c r="K1438" s="26"/>
      <c r="L1438" s="26"/>
      <c r="M1438" s="26"/>
      <c r="N1438" s="26"/>
      <c r="O1438" s="26"/>
      <c r="P1438" s="26"/>
      <c r="Q1438" s="26"/>
      <c r="R1438" s="26"/>
      <c r="S1438" s="26"/>
      <c r="T1438" s="26"/>
      <c r="U1438" s="26"/>
      <c r="V1438" s="26"/>
      <c r="W1438" s="26"/>
      <c r="X1438" s="26"/>
      <c r="Y1438" s="26"/>
      <c r="Z1438" s="26"/>
      <c r="AA1438" s="26"/>
      <c r="AB1438" s="26"/>
      <c r="AC1438" s="26"/>
      <c r="AD1438" s="26"/>
      <c r="AE1438" s="26"/>
      <c r="AF1438" s="26"/>
      <c r="AG1438" s="26"/>
      <c r="AH1438" s="26"/>
      <c r="AI1438" s="26"/>
      <c r="AJ1438" s="26"/>
      <c r="AK1438" s="26"/>
      <c r="AL1438" s="26"/>
      <c r="AM1438" s="26"/>
      <c r="AN1438" s="26"/>
      <c r="AO1438" s="26"/>
      <c r="AP1438" s="26"/>
      <c r="AQ1438" s="26"/>
      <c r="AR1438" s="26"/>
      <c r="AS1438" s="26"/>
      <c r="AT1438" s="26"/>
      <c r="AU1438" s="26"/>
      <c r="AV1438" s="26"/>
      <c r="AW1438" s="26"/>
      <c r="AX1438" s="26"/>
      <c r="AY1438" s="26"/>
    </row>
    <row r="1439" spans="1:51" ht="12.75" customHeight="1">
      <c r="A1439" s="26"/>
      <c r="B1439" s="66"/>
      <c r="C1439" s="67"/>
      <c r="D1439" s="67"/>
      <c r="E1439" s="26"/>
      <c r="F1439" s="26"/>
      <c r="G1439" s="26"/>
      <c r="H1439" s="26"/>
      <c r="I1439" s="26"/>
      <c r="J1439" s="26"/>
      <c r="K1439" s="26"/>
      <c r="L1439" s="26"/>
      <c r="M1439" s="26"/>
      <c r="N1439" s="26"/>
      <c r="O1439" s="26"/>
      <c r="P1439" s="26"/>
      <c r="Q1439" s="26"/>
      <c r="R1439" s="26"/>
      <c r="S1439" s="26"/>
      <c r="T1439" s="26"/>
      <c r="U1439" s="26"/>
      <c r="V1439" s="26"/>
      <c r="W1439" s="26"/>
      <c r="X1439" s="26"/>
      <c r="Y1439" s="26"/>
      <c r="Z1439" s="26"/>
      <c r="AA1439" s="26"/>
      <c r="AB1439" s="26"/>
      <c r="AC1439" s="26"/>
      <c r="AD1439" s="26"/>
      <c r="AE1439" s="26"/>
      <c r="AF1439" s="26"/>
      <c r="AG1439" s="26"/>
      <c r="AH1439" s="26"/>
      <c r="AI1439" s="26"/>
      <c r="AJ1439" s="26"/>
      <c r="AK1439" s="26"/>
      <c r="AL1439" s="26"/>
      <c r="AM1439" s="26"/>
      <c r="AN1439" s="26"/>
      <c r="AO1439" s="26"/>
      <c r="AP1439" s="26"/>
      <c r="AQ1439" s="26"/>
      <c r="AR1439" s="26"/>
      <c r="AS1439" s="26"/>
      <c r="AT1439" s="26"/>
      <c r="AU1439" s="26"/>
      <c r="AV1439" s="26"/>
      <c r="AW1439" s="26"/>
      <c r="AX1439" s="26"/>
      <c r="AY1439" s="26"/>
    </row>
    <row r="1440" spans="1:51" ht="12.75" customHeight="1">
      <c r="A1440" s="26"/>
      <c r="B1440" s="66"/>
      <c r="C1440" s="67"/>
      <c r="D1440" s="67"/>
      <c r="E1440" s="26"/>
      <c r="F1440" s="26"/>
      <c r="G1440" s="26"/>
      <c r="H1440" s="26"/>
      <c r="I1440" s="26"/>
      <c r="J1440" s="26"/>
      <c r="K1440" s="26"/>
      <c r="L1440" s="26"/>
      <c r="M1440" s="26"/>
      <c r="N1440" s="26"/>
      <c r="O1440" s="26"/>
      <c r="P1440" s="26"/>
      <c r="Q1440" s="26"/>
      <c r="R1440" s="26"/>
      <c r="S1440" s="26"/>
      <c r="T1440" s="26"/>
      <c r="U1440" s="26"/>
      <c r="V1440" s="26"/>
      <c r="W1440" s="26"/>
      <c r="X1440" s="26"/>
      <c r="Y1440" s="26"/>
      <c r="Z1440" s="26"/>
      <c r="AA1440" s="26"/>
      <c r="AB1440" s="26"/>
      <c r="AC1440" s="26"/>
      <c r="AD1440" s="26"/>
      <c r="AE1440" s="26"/>
      <c r="AF1440" s="26"/>
      <c r="AG1440" s="26"/>
      <c r="AH1440" s="26"/>
      <c r="AI1440" s="26"/>
      <c r="AJ1440" s="26"/>
      <c r="AK1440" s="26"/>
      <c r="AL1440" s="26"/>
      <c r="AM1440" s="26"/>
      <c r="AN1440" s="26"/>
      <c r="AO1440" s="26"/>
      <c r="AP1440" s="26"/>
      <c r="AQ1440" s="26"/>
      <c r="AR1440" s="26"/>
      <c r="AS1440" s="26"/>
      <c r="AT1440" s="26"/>
      <c r="AU1440" s="26"/>
      <c r="AV1440" s="26"/>
      <c r="AW1440" s="26"/>
      <c r="AX1440" s="26"/>
      <c r="AY1440" s="26"/>
    </row>
    <row r="1441" spans="1:51" ht="12.75" customHeight="1">
      <c r="A1441" s="26"/>
      <c r="B1441" s="66"/>
      <c r="C1441" s="67"/>
      <c r="D1441" s="67"/>
      <c r="E1441" s="26"/>
      <c r="F1441" s="26"/>
      <c r="G1441" s="26"/>
      <c r="H1441" s="26"/>
      <c r="I1441" s="26"/>
      <c r="J1441" s="26"/>
      <c r="K1441" s="26"/>
      <c r="L1441" s="26"/>
      <c r="M1441" s="26"/>
      <c r="N1441" s="26"/>
      <c r="O1441" s="26"/>
      <c r="P1441" s="26"/>
      <c r="Q1441" s="26"/>
      <c r="R1441" s="26"/>
      <c r="S1441" s="26"/>
      <c r="T1441" s="26"/>
      <c r="U1441" s="26"/>
      <c r="V1441" s="26"/>
      <c r="W1441" s="26"/>
      <c r="X1441" s="26"/>
      <c r="Y1441" s="26"/>
      <c r="Z1441" s="26"/>
      <c r="AA1441" s="26"/>
      <c r="AB1441" s="26"/>
      <c r="AC1441" s="26"/>
      <c r="AD1441" s="26"/>
      <c r="AE1441" s="26"/>
      <c r="AF1441" s="26"/>
      <c r="AG1441" s="26"/>
      <c r="AH1441" s="26"/>
      <c r="AI1441" s="26"/>
      <c r="AJ1441" s="26"/>
      <c r="AK1441" s="26"/>
      <c r="AL1441" s="26"/>
      <c r="AM1441" s="26"/>
      <c r="AN1441" s="26"/>
      <c r="AO1441" s="26"/>
      <c r="AP1441" s="26"/>
      <c r="AQ1441" s="26"/>
      <c r="AR1441" s="26"/>
      <c r="AS1441" s="26"/>
      <c r="AT1441" s="26"/>
      <c r="AU1441" s="26"/>
      <c r="AV1441" s="26"/>
      <c r="AW1441" s="26"/>
      <c r="AX1441" s="26"/>
      <c r="AY1441" s="26"/>
    </row>
    <row r="1442" spans="1:51" ht="12.75" customHeight="1">
      <c r="A1442" s="26"/>
      <c r="B1442" s="66"/>
      <c r="C1442" s="67"/>
      <c r="D1442" s="67"/>
      <c r="E1442" s="26"/>
      <c r="F1442" s="26"/>
      <c r="G1442" s="26"/>
      <c r="H1442" s="26"/>
      <c r="I1442" s="26"/>
      <c r="J1442" s="26"/>
      <c r="K1442" s="26"/>
      <c r="L1442" s="26"/>
      <c r="M1442" s="26"/>
      <c r="N1442" s="26"/>
      <c r="O1442" s="26"/>
      <c r="P1442" s="26"/>
      <c r="Q1442" s="26"/>
      <c r="R1442" s="26"/>
      <c r="S1442" s="26"/>
      <c r="T1442" s="26"/>
      <c r="U1442" s="26"/>
      <c r="V1442" s="26"/>
      <c r="W1442" s="26"/>
      <c r="X1442" s="26"/>
      <c r="Y1442" s="26"/>
      <c r="Z1442" s="26"/>
      <c r="AA1442" s="26"/>
      <c r="AB1442" s="26"/>
      <c r="AC1442" s="26"/>
      <c r="AD1442" s="26"/>
      <c r="AE1442" s="26"/>
      <c r="AF1442" s="26"/>
      <c r="AG1442" s="26"/>
      <c r="AH1442" s="26"/>
      <c r="AI1442" s="26"/>
      <c r="AJ1442" s="26"/>
      <c r="AK1442" s="26"/>
      <c r="AL1442" s="26"/>
      <c r="AM1442" s="26"/>
      <c r="AN1442" s="26"/>
      <c r="AO1442" s="26"/>
      <c r="AP1442" s="26"/>
      <c r="AQ1442" s="26"/>
      <c r="AR1442" s="26"/>
      <c r="AS1442" s="26"/>
      <c r="AT1442" s="26"/>
      <c r="AU1442" s="26"/>
      <c r="AV1442" s="26"/>
      <c r="AW1442" s="26"/>
      <c r="AX1442" s="26"/>
      <c r="AY1442" s="26"/>
    </row>
    <row r="1443" spans="1:51" ht="12.75" customHeight="1">
      <c r="A1443" s="26"/>
      <c r="B1443" s="66"/>
      <c r="C1443" s="67"/>
      <c r="D1443" s="67"/>
      <c r="E1443" s="26"/>
      <c r="F1443" s="26"/>
      <c r="G1443" s="26"/>
      <c r="H1443" s="26"/>
      <c r="I1443" s="26"/>
      <c r="J1443" s="26"/>
      <c r="K1443" s="26"/>
      <c r="L1443" s="26"/>
      <c r="M1443" s="26"/>
      <c r="N1443" s="26"/>
      <c r="O1443" s="26"/>
      <c r="P1443" s="26"/>
      <c r="Q1443" s="26"/>
      <c r="R1443" s="26"/>
      <c r="S1443" s="26"/>
      <c r="T1443" s="26"/>
      <c r="U1443" s="26"/>
      <c r="V1443" s="26"/>
      <c r="W1443" s="26"/>
      <c r="X1443" s="26"/>
      <c r="Y1443" s="26"/>
      <c r="Z1443" s="26"/>
      <c r="AA1443" s="26"/>
      <c r="AB1443" s="26"/>
      <c r="AC1443" s="26"/>
      <c r="AD1443" s="26"/>
      <c r="AE1443" s="26"/>
      <c r="AF1443" s="26"/>
      <c r="AG1443" s="26"/>
      <c r="AH1443" s="26"/>
      <c r="AI1443" s="26"/>
      <c r="AJ1443" s="26"/>
      <c r="AK1443" s="26"/>
      <c r="AL1443" s="26"/>
      <c r="AM1443" s="26"/>
      <c r="AN1443" s="26"/>
      <c r="AO1443" s="26"/>
      <c r="AP1443" s="26"/>
      <c r="AQ1443" s="26"/>
      <c r="AR1443" s="26"/>
      <c r="AS1443" s="26"/>
      <c r="AT1443" s="26"/>
      <c r="AU1443" s="26"/>
      <c r="AV1443" s="26"/>
      <c r="AW1443" s="26"/>
      <c r="AX1443" s="26"/>
      <c r="AY1443" s="26"/>
    </row>
    <row r="1444" spans="1:51" ht="12.75" customHeight="1">
      <c r="A1444" s="26"/>
      <c r="B1444" s="66"/>
      <c r="C1444" s="67"/>
      <c r="D1444" s="67"/>
      <c r="E1444" s="26"/>
      <c r="F1444" s="26"/>
      <c r="G1444" s="26"/>
      <c r="H1444" s="26"/>
      <c r="I1444" s="26"/>
      <c r="J1444" s="26"/>
      <c r="K1444" s="26"/>
      <c r="L1444" s="26"/>
      <c r="M1444" s="26"/>
      <c r="N1444" s="26"/>
      <c r="O1444" s="26"/>
      <c r="P1444" s="26"/>
      <c r="Q1444" s="26"/>
      <c r="R1444" s="26"/>
      <c r="S1444" s="26"/>
      <c r="T1444" s="26"/>
      <c r="U1444" s="26"/>
      <c r="V1444" s="26"/>
      <c r="W1444" s="26"/>
      <c r="X1444" s="26"/>
      <c r="Y1444" s="26"/>
      <c r="Z1444" s="26"/>
      <c r="AA1444" s="26"/>
      <c r="AB1444" s="26"/>
      <c r="AC1444" s="26"/>
      <c r="AD1444" s="26"/>
      <c r="AE1444" s="26"/>
      <c r="AF1444" s="26"/>
      <c r="AG1444" s="26"/>
      <c r="AH1444" s="26"/>
      <c r="AI1444" s="26"/>
      <c r="AJ1444" s="26"/>
      <c r="AK1444" s="26"/>
      <c r="AL1444" s="26"/>
      <c r="AM1444" s="26"/>
      <c r="AN1444" s="26"/>
      <c r="AO1444" s="26"/>
      <c r="AP1444" s="26"/>
      <c r="AQ1444" s="26"/>
      <c r="AR1444" s="26"/>
      <c r="AS1444" s="26"/>
      <c r="AT1444" s="26"/>
      <c r="AU1444" s="26"/>
      <c r="AV1444" s="26"/>
      <c r="AW1444" s="26"/>
      <c r="AX1444" s="26"/>
      <c r="AY1444" s="26"/>
    </row>
    <row r="1445" spans="1:51" ht="12.75" customHeight="1">
      <c r="A1445" s="26"/>
      <c r="B1445" s="66"/>
      <c r="C1445" s="67"/>
      <c r="D1445" s="67"/>
      <c r="E1445" s="26"/>
      <c r="F1445" s="26"/>
      <c r="G1445" s="26"/>
      <c r="H1445" s="26"/>
      <c r="I1445" s="26"/>
      <c r="J1445" s="26"/>
      <c r="K1445" s="26"/>
      <c r="L1445" s="26"/>
      <c r="M1445" s="26"/>
      <c r="N1445" s="26"/>
      <c r="O1445" s="26"/>
      <c r="P1445" s="26"/>
      <c r="Q1445" s="26"/>
      <c r="R1445" s="26"/>
      <c r="S1445" s="26"/>
      <c r="T1445" s="26"/>
      <c r="U1445" s="26"/>
      <c r="V1445" s="26"/>
      <c r="W1445" s="26"/>
      <c r="X1445" s="26"/>
      <c r="Y1445" s="26"/>
      <c r="Z1445" s="26"/>
      <c r="AA1445" s="26"/>
      <c r="AB1445" s="26"/>
      <c r="AC1445" s="26"/>
      <c r="AD1445" s="26"/>
      <c r="AE1445" s="26"/>
      <c r="AF1445" s="26"/>
      <c r="AG1445" s="26"/>
      <c r="AH1445" s="26"/>
      <c r="AI1445" s="26"/>
      <c r="AJ1445" s="26"/>
      <c r="AK1445" s="26"/>
      <c r="AL1445" s="26"/>
      <c r="AM1445" s="26"/>
      <c r="AN1445" s="26"/>
      <c r="AO1445" s="26"/>
      <c r="AP1445" s="26"/>
      <c r="AQ1445" s="26"/>
      <c r="AR1445" s="26"/>
      <c r="AS1445" s="26"/>
      <c r="AT1445" s="26"/>
      <c r="AU1445" s="26"/>
      <c r="AV1445" s="26"/>
      <c r="AW1445" s="26"/>
      <c r="AX1445" s="26"/>
      <c r="AY1445" s="26"/>
    </row>
    <row r="1446" spans="1:51" ht="12.75" customHeight="1">
      <c r="A1446" s="26"/>
      <c r="B1446" s="66"/>
      <c r="C1446" s="67"/>
      <c r="D1446" s="67"/>
      <c r="E1446" s="26"/>
      <c r="F1446" s="26"/>
      <c r="G1446" s="26"/>
      <c r="H1446" s="26"/>
      <c r="I1446" s="26"/>
      <c r="J1446" s="26"/>
      <c r="K1446" s="26"/>
      <c r="L1446" s="26"/>
      <c r="M1446" s="26"/>
      <c r="N1446" s="26"/>
      <c r="O1446" s="26"/>
      <c r="P1446" s="26"/>
      <c r="Q1446" s="26"/>
      <c r="R1446" s="26"/>
      <c r="S1446" s="26"/>
      <c r="T1446" s="26"/>
      <c r="U1446" s="26"/>
      <c r="V1446" s="26"/>
      <c r="W1446" s="26"/>
      <c r="X1446" s="26"/>
      <c r="Y1446" s="26"/>
      <c r="Z1446" s="26"/>
      <c r="AA1446" s="26"/>
      <c r="AB1446" s="26"/>
      <c r="AC1446" s="26"/>
      <c r="AD1446" s="26"/>
      <c r="AE1446" s="26"/>
      <c r="AF1446" s="26"/>
      <c r="AG1446" s="26"/>
      <c r="AH1446" s="26"/>
      <c r="AI1446" s="26"/>
      <c r="AJ1446" s="26"/>
      <c r="AK1446" s="26"/>
      <c r="AL1446" s="26"/>
      <c r="AM1446" s="26"/>
      <c r="AN1446" s="26"/>
      <c r="AO1446" s="26"/>
      <c r="AP1446" s="26"/>
      <c r="AQ1446" s="26"/>
      <c r="AR1446" s="26"/>
      <c r="AS1446" s="26"/>
      <c r="AT1446" s="26"/>
      <c r="AU1446" s="26"/>
      <c r="AV1446" s="26"/>
      <c r="AW1446" s="26"/>
      <c r="AX1446" s="26"/>
      <c r="AY1446" s="26"/>
    </row>
    <row r="1447" spans="1:51" ht="12.75" customHeight="1">
      <c r="A1447" s="26"/>
      <c r="B1447" s="66"/>
      <c r="C1447" s="67"/>
      <c r="D1447" s="67"/>
      <c r="E1447" s="26"/>
      <c r="F1447" s="26"/>
      <c r="G1447" s="26"/>
      <c r="H1447" s="26"/>
      <c r="I1447" s="26"/>
      <c r="J1447" s="26"/>
      <c r="K1447" s="26"/>
      <c r="L1447" s="26"/>
      <c r="M1447" s="26"/>
      <c r="N1447" s="26"/>
      <c r="O1447" s="26"/>
      <c r="P1447" s="26"/>
      <c r="Q1447" s="26"/>
      <c r="R1447" s="26"/>
      <c r="S1447" s="26"/>
      <c r="T1447" s="26"/>
      <c r="U1447" s="26"/>
      <c r="V1447" s="26"/>
      <c r="W1447" s="26"/>
      <c r="X1447" s="26"/>
      <c r="Y1447" s="26"/>
      <c r="Z1447" s="26"/>
      <c r="AA1447" s="26"/>
      <c r="AB1447" s="26"/>
      <c r="AC1447" s="26"/>
      <c r="AD1447" s="26"/>
      <c r="AE1447" s="26"/>
      <c r="AF1447" s="26"/>
      <c r="AG1447" s="26"/>
      <c r="AH1447" s="26"/>
      <c r="AI1447" s="26"/>
      <c r="AJ1447" s="26"/>
      <c r="AK1447" s="26"/>
      <c r="AL1447" s="26"/>
      <c r="AM1447" s="26"/>
      <c r="AN1447" s="26"/>
      <c r="AO1447" s="26"/>
      <c r="AP1447" s="26"/>
      <c r="AQ1447" s="26"/>
      <c r="AR1447" s="26"/>
      <c r="AS1447" s="26"/>
      <c r="AT1447" s="26"/>
      <c r="AU1447" s="26"/>
      <c r="AV1447" s="26"/>
      <c r="AW1447" s="26"/>
      <c r="AX1447" s="26"/>
      <c r="AY1447" s="26"/>
    </row>
    <row r="1448" spans="1:51" ht="12.75" customHeight="1">
      <c r="A1448" s="26"/>
      <c r="B1448" s="66"/>
      <c r="C1448" s="67"/>
      <c r="D1448" s="67"/>
      <c r="E1448" s="26"/>
      <c r="F1448" s="26"/>
      <c r="G1448" s="26"/>
      <c r="H1448" s="26"/>
      <c r="I1448" s="26"/>
      <c r="J1448" s="26"/>
      <c r="K1448" s="26"/>
      <c r="L1448" s="26"/>
      <c r="M1448" s="26"/>
      <c r="N1448" s="26"/>
      <c r="O1448" s="26"/>
      <c r="P1448" s="26"/>
      <c r="Q1448" s="26"/>
      <c r="R1448" s="26"/>
      <c r="S1448" s="26"/>
      <c r="T1448" s="26"/>
      <c r="U1448" s="26"/>
      <c r="V1448" s="26"/>
      <c r="W1448" s="26"/>
      <c r="X1448" s="26"/>
      <c r="Y1448" s="26"/>
      <c r="Z1448" s="26"/>
      <c r="AA1448" s="26"/>
      <c r="AB1448" s="26"/>
      <c r="AC1448" s="26"/>
      <c r="AD1448" s="26"/>
      <c r="AE1448" s="26"/>
      <c r="AF1448" s="26"/>
      <c r="AG1448" s="26"/>
      <c r="AH1448" s="26"/>
      <c r="AI1448" s="26"/>
      <c r="AJ1448" s="26"/>
      <c r="AK1448" s="26"/>
      <c r="AL1448" s="26"/>
      <c r="AM1448" s="26"/>
      <c r="AN1448" s="26"/>
      <c r="AO1448" s="26"/>
      <c r="AP1448" s="26"/>
      <c r="AQ1448" s="26"/>
      <c r="AR1448" s="26"/>
      <c r="AS1448" s="26"/>
      <c r="AT1448" s="26"/>
      <c r="AU1448" s="26"/>
      <c r="AV1448" s="26"/>
      <c r="AW1448" s="26"/>
      <c r="AX1448" s="26"/>
      <c r="AY1448" s="26"/>
    </row>
    <row r="1449" spans="1:51" ht="12.75" customHeight="1">
      <c r="A1449" s="26"/>
      <c r="B1449" s="66"/>
      <c r="C1449" s="67"/>
      <c r="D1449" s="67"/>
      <c r="E1449" s="26"/>
      <c r="F1449" s="26"/>
      <c r="G1449" s="26"/>
      <c r="H1449" s="26"/>
      <c r="I1449" s="26"/>
      <c r="J1449" s="26"/>
      <c r="K1449" s="26"/>
      <c r="L1449" s="26"/>
      <c r="M1449" s="26"/>
      <c r="N1449" s="26"/>
      <c r="O1449" s="26"/>
      <c r="P1449" s="26"/>
      <c r="Q1449" s="26"/>
      <c r="R1449" s="26"/>
      <c r="S1449" s="26"/>
      <c r="T1449" s="26"/>
      <c r="U1449" s="26"/>
      <c r="V1449" s="26"/>
      <c r="W1449" s="26"/>
      <c r="X1449" s="26"/>
      <c r="Y1449" s="26"/>
      <c r="Z1449" s="26"/>
      <c r="AA1449" s="26"/>
      <c r="AB1449" s="26"/>
      <c r="AC1449" s="26"/>
      <c r="AD1449" s="26"/>
      <c r="AE1449" s="26"/>
      <c r="AF1449" s="26"/>
      <c r="AG1449" s="26"/>
      <c r="AH1449" s="26"/>
      <c r="AI1449" s="26"/>
      <c r="AJ1449" s="26"/>
      <c r="AK1449" s="26"/>
      <c r="AL1449" s="26"/>
      <c r="AM1449" s="26"/>
      <c r="AN1449" s="26"/>
      <c r="AO1449" s="26"/>
      <c r="AP1449" s="26"/>
      <c r="AQ1449" s="26"/>
      <c r="AR1449" s="26"/>
      <c r="AS1449" s="26"/>
      <c r="AT1449" s="26"/>
      <c r="AU1449" s="26"/>
      <c r="AV1449" s="26"/>
      <c r="AW1449" s="26"/>
      <c r="AX1449" s="26"/>
      <c r="AY1449" s="26"/>
    </row>
    <row r="1450" spans="1:51" ht="12.75" customHeight="1">
      <c r="A1450" s="26"/>
      <c r="B1450" s="66"/>
      <c r="C1450" s="67"/>
      <c r="D1450" s="67"/>
      <c r="E1450" s="26"/>
      <c r="F1450" s="26"/>
      <c r="G1450" s="26"/>
      <c r="H1450" s="26"/>
      <c r="I1450" s="26"/>
      <c r="J1450" s="26"/>
      <c r="K1450" s="26"/>
      <c r="L1450" s="26"/>
      <c r="M1450" s="26"/>
      <c r="N1450" s="26"/>
      <c r="O1450" s="26"/>
      <c r="P1450" s="26"/>
      <c r="Q1450" s="26"/>
      <c r="R1450" s="26"/>
      <c r="S1450" s="26"/>
      <c r="T1450" s="26"/>
      <c r="U1450" s="26"/>
      <c r="V1450" s="26"/>
      <c r="W1450" s="26"/>
      <c r="X1450" s="26"/>
      <c r="Y1450" s="26"/>
      <c r="Z1450" s="26"/>
      <c r="AA1450" s="26"/>
      <c r="AB1450" s="26"/>
      <c r="AC1450" s="26"/>
      <c r="AD1450" s="26"/>
      <c r="AE1450" s="26"/>
      <c r="AF1450" s="26"/>
      <c r="AG1450" s="26"/>
      <c r="AH1450" s="26"/>
      <c r="AI1450" s="26"/>
      <c r="AJ1450" s="26"/>
      <c r="AK1450" s="26"/>
      <c r="AL1450" s="26"/>
      <c r="AM1450" s="26"/>
      <c r="AN1450" s="26"/>
      <c r="AO1450" s="26"/>
      <c r="AP1450" s="26"/>
      <c r="AQ1450" s="26"/>
      <c r="AR1450" s="26"/>
      <c r="AS1450" s="26"/>
      <c r="AT1450" s="26"/>
      <c r="AU1450" s="26"/>
      <c r="AV1450" s="26"/>
      <c r="AW1450" s="26"/>
      <c r="AX1450" s="26"/>
      <c r="AY1450" s="26"/>
    </row>
    <row r="1451" spans="1:51" ht="12.75" customHeight="1">
      <c r="A1451" s="26"/>
      <c r="B1451" s="66"/>
      <c r="C1451" s="67"/>
      <c r="D1451" s="67"/>
      <c r="E1451" s="26"/>
      <c r="F1451" s="26"/>
      <c r="G1451" s="26"/>
      <c r="H1451" s="26"/>
      <c r="I1451" s="26"/>
      <c r="J1451" s="26"/>
      <c r="K1451" s="26"/>
      <c r="L1451" s="26"/>
      <c r="M1451" s="26"/>
      <c r="N1451" s="26"/>
      <c r="O1451" s="26"/>
      <c r="P1451" s="26"/>
      <c r="Q1451" s="26"/>
      <c r="R1451" s="26"/>
      <c r="S1451" s="26"/>
      <c r="T1451" s="26"/>
      <c r="U1451" s="26"/>
      <c r="V1451" s="26"/>
      <c r="W1451" s="26"/>
      <c r="X1451" s="26"/>
      <c r="Y1451" s="26"/>
      <c r="Z1451" s="26"/>
      <c r="AA1451" s="26"/>
      <c r="AB1451" s="26"/>
      <c r="AC1451" s="26"/>
      <c r="AD1451" s="26"/>
      <c r="AE1451" s="26"/>
      <c r="AF1451" s="26"/>
      <c r="AG1451" s="26"/>
      <c r="AH1451" s="26"/>
      <c r="AI1451" s="26"/>
      <c r="AJ1451" s="26"/>
      <c r="AK1451" s="26"/>
      <c r="AL1451" s="26"/>
      <c r="AM1451" s="26"/>
      <c r="AN1451" s="26"/>
      <c r="AO1451" s="26"/>
      <c r="AP1451" s="26"/>
      <c r="AQ1451" s="26"/>
      <c r="AR1451" s="26"/>
      <c r="AS1451" s="26"/>
      <c r="AT1451" s="26"/>
      <c r="AU1451" s="26"/>
      <c r="AV1451" s="26"/>
      <c r="AW1451" s="26"/>
      <c r="AX1451" s="26"/>
      <c r="AY1451" s="26"/>
    </row>
    <row r="1452" spans="1:51" ht="12.75" customHeight="1">
      <c r="A1452" s="26"/>
      <c r="B1452" s="66"/>
      <c r="C1452" s="67"/>
      <c r="D1452" s="67"/>
      <c r="E1452" s="26"/>
      <c r="F1452" s="26"/>
      <c r="G1452" s="26"/>
      <c r="H1452" s="26"/>
      <c r="I1452" s="26"/>
      <c r="J1452" s="26"/>
      <c r="K1452" s="26"/>
      <c r="L1452" s="26"/>
      <c r="M1452" s="26"/>
      <c r="N1452" s="26"/>
      <c r="O1452" s="26"/>
      <c r="P1452" s="26"/>
      <c r="Q1452" s="26"/>
      <c r="R1452" s="26"/>
      <c r="S1452" s="26"/>
      <c r="T1452" s="26"/>
      <c r="U1452" s="26"/>
      <c r="V1452" s="26"/>
      <c r="W1452" s="26"/>
      <c r="X1452" s="26"/>
      <c r="Y1452" s="26"/>
      <c r="Z1452" s="26"/>
      <c r="AA1452" s="26"/>
      <c r="AB1452" s="26"/>
      <c r="AC1452" s="26"/>
      <c r="AD1452" s="26"/>
      <c r="AE1452" s="26"/>
      <c r="AF1452" s="26"/>
      <c r="AG1452" s="26"/>
      <c r="AH1452" s="26"/>
      <c r="AI1452" s="26"/>
      <c r="AJ1452" s="26"/>
      <c r="AK1452" s="26"/>
      <c r="AL1452" s="26"/>
      <c r="AM1452" s="26"/>
      <c r="AN1452" s="26"/>
      <c r="AO1452" s="26"/>
      <c r="AP1452" s="26"/>
      <c r="AQ1452" s="26"/>
      <c r="AR1452" s="26"/>
      <c r="AS1452" s="26"/>
      <c r="AT1452" s="26"/>
      <c r="AU1452" s="26"/>
      <c r="AV1452" s="26"/>
      <c r="AW1452" s="26"/>
      <c r="AX1452" s="26"/>
      <c r="AY1452" s="26"/>
    </row>
    <row r="1453" spans="1:51" ht="12.75" customHeight="1">
      <c r="A1453" s="26"/>
      <c r="B1453" s="66"/>
      <c r="C1453" s="67"/>
      <c r="D1453" s="67"/>
      <c r="E1453" s="26"/>
      <c r="F1453" s="26"/>
      <c r="G1453" s="26"/>
      <c r="H1453" s="26"/>
      <c r="I1453" s="26"/>
      <c r="J1453" s="26"/>
      <c r="K1453" s="26"/>
      <c r="L1453" s="26"/>
      <c r="M1453" s="26"/>
      <c r="N1453" s="26"/>
      <c r="O1453" s="26"/>
      <c r="P1453" s="26"/>
      <c r="Q1453" s="26"/>
      <c r="R1453" s="26"/>
      <c r="S1453" s="26"/>
      <c r="T1453" s="26"/>
      <c r="U1453" s="26"/>
      <c r="V1453" s="26"/>
      <c r="W1453" s="26"/>
      <c r="X1453" s="26"/>
      <c r="Y1453" s="26"/>
      <c r="Z1453" s="26"/>
      <c r="AA1453" s="26"/>
      <c r="AB1453" s="26"/>
      <c r="AC1453" s="26"/>
      <c r="AD1453" s="26"/>
      <c r="AE1453" s="26"/>
      <c r="AF1453" s="26"/>
      <c r="AG1453" s="26"/>
      <c r="AH1453" s="26"/>
      <c r="AI1453" s="26"/>
      <c r="AJ1453" s="26"/>
      <c r="AK1453" s="26"/>
      <c r="AL1453" s="26"/>
      <c r="AM1453" s="26"/>
      <c r="AN1453" s="26"/>
      <c r="AO1453" s="26"/>
      <c r="AP1453" s="26"/>
      <c r="AQ1453" s="26"/>
      <c r="AR1453" s="26"/>
      <c r="AS1453" s="26"/>
      <c r="AT1453" s="26"/>
      <c r="AU1453" s="26"/>
      <c r="AV1453" s="26"/>
      <c r="AW1453" s="26"/>
      <c r="AX1453" s="26"/>
      <c r="AY1453" s="26"/>
    </row>
    <row r="1454" spans="1:51" ht="12.75" customHeight="1">
      <c r="A1454" s="26"/>
      <c r="B1454" s="66"/>
      <c r="C1454" s="67"/>
      <c r="D1454" s="67"/>
      <c r="E1454" s="26"/>
      <c r="F1454" s="26"/>
      <c r="G1454" s="26"/>
      <c r="H1454" s="26"/>
      <c r="I1454" s="26"/>
      <c r="J1454" s="26"/>
      <c r="K1454" s="26"/>
      <c r="L1454" s="26"/>
      <c r="M1454" s="26"/>
      <c r="N1454" s="26"/>
      <c r="O1454" s="26"/>
      <c r="P1454" s="26"/>
      <c r="Q1454" s="26"/>
      <c r="R1454" s="26"/>
      <c r="S1454" s="26"/>
      <c r="T1454" s="26"/>
      <c r="U1454" s="26"/>
      <c r="V1454" s="26"/>
      <c r="W1454" s="26"/>
      <c r="X1454" s="26"/>
      <c r="Y1454" s="26"/>
      <c r="Z1454" s="26"/>
      <c r="AA1454" s="26"/>
      <c r="AB1454" s="26"/>
      <c r="AC1454" s="26"/>
      <c r="AD1454" s="26"/>
      <c r="AE1454" s="26"/>
      <c r="AF1454" s="26"/>
      <c r="AG1454" s="26"/>
      <c r="AH1454" s="26"/>
      <c r="AI1454" s="26"/>
      <c r="AJ1454" s="26"/>
      <c r="AK1454" s="26"/>
      <c r="AL1454" s="26"/>
      <c r="AM1454" s="26"/>
      <c r="AN1454" s="26"/>
      <c r="AO1454" s="26"/>
      <c r="AP1454" s="26"/>
      <c r="AQ1454" s="26"/>
      <c r="AR1454" s="26"/>
      <c r="AS1454" s="26"/>
      <c r="AT1454" s="26"/>
      <c r="AU1454" s="26"/>
      <c r="AV1454" s="26"/>
      <c r="AW1454" s="26"/>
      <c r="AX1454" s="26"/>
      <c r="AY1454" s="26"/>
    </row>
    <row r="1455" spans="1:51" ht="12.75" customHeight="1">
      <c r="A1455" s="26"/>
      <c r="B1455" s="66"/>
      <c r="C1455" s="67"/>
      <c r="D1455" s="67"/>
      <c r="E1455" s="26"/>
      <c r="F1455" s="26"/>
      <c r="G1455" s="26"/>
      <c r="H1455" s="26"/>
      <c r="I1455" s="26"/>
      <c r="J1455" s="26"/>
      <c r="K1455" s="26"/>
      <c r="L1455" s="26"/>
      <c r="M1455" s="26"/>
      <c r="N1455" s="26"/>
      <c r="O1455" s="26"/>
      <c r="P1455" s="26"/>
      <c r="Q1455" s="26"/>
      <c r="R1455" s="26"/>
      <c r="S1455" s="26"/>
      <c r="T1455" s="26"/>
      <c r="U1455" s="26"/>
      <c r="V1455" s="26"/>
      <c r="W1455" s="26"/>
      <c r="X1455" s="26"/>
      <c r="Y1455" s="26"/>
      <c r="Z1455" s="26"/>
      <c r="AA1455" s="26"/>
      <c r="AB1455" s="26"/>
      <c r="AC1455" s="26"/>
      <c r="AD1455" s="26"/>
      <c r="AE1455" s="26"/>
      <c r="AF1455" s="26"/>
      <c r="AG1455" s="26"/>
      <c r="AH1455" s="26"/>
      <c r="AI1455" s="26"/>
      <c r="AJ1455" s="26"/>
      <c r="AK1455" s="26"/>
      <c r="AL1455" s="26"/>
      <c r="AM1455" s="26"/>
      <c r="AN1455" s="26"/>
      <c r="AO1455" s="26"/>
      <c r="AP1455" s="26"/>
      <c r="AQ1455" s="26"/>
      <c r="AR1455" s="26"/>
      <c r="AS1455" s="26"/>
      <c r="AT1455" s="26"/>
      <c r="AU1455" s="26"/>
      <c r="AV1455" s="26"/>
      <c r="AW1455" s="26"/>
      <c r="AX1455" s="26"/>
      <c r="AY1455" s="26"/>
    </row>
    <row r="1456" spans="1:51" ht="12.75" customHeight="1">
      <c r="A1456" s="26"/>
      <c r="B1456" s="66"/>
      <c r="C1456" s="67"/>
      <c r="D1456" s="67"/>
      <c r="E1456" s="26"/>
      <c r="F1456" s="26"/>
      <c r="G1456" s="26"/>
      <c r="H1456" s="26"/>
      <c r="I1456" s="26"/>
      <c r="J1456" s="26"/>
      <c r="K1456" s="26"/>
      <c r="L1456" s="26"/>
      <c r="M1456" s="26"/>
      <c r="N1456" s="26"/>
      <c r="O1456" s="26"/>
      <c r="P1456" s="26"/>
      <c r="Q1456" s="26"/>
      <c r="R1456" s="26"/>
      <c r="S1456" s="26"/>
      <c r="T1456" s="26"/>
      <c r="U1456" s="26"/>
      <c r="V1456" s="26"/>
      <c r="W1456" s="26"/>
      <c r="X1456" s="26"/>
      <c r="Y1456" s="26"/>
      <c r="Z1456" s="26"/>
      <c r="AA1456" s="26"/>
      <c r="AB1456" s="26"/>
      <c r="AC1456" s="26"/>
      <c r="AD1456" s="26"/>
      <c r="AE1456" s="26"/>
      <c r="AF1456" s="26"/>
      <c r="AG1456" s="26"/>
      <c r="AH1456" s="26"/>
      <c r="AI1456" s="26"/>
      <c r="AJ1456" s="26"/>
      <c r="AK1456" s="26"/>
      <c r="AL1456" s="26"/>
      <c r="AM1456" s="26"/>
      <c r="AN1456" s="26"/>
      <c r="AO1456" s="26"/>
      <c r="AP1456" s="26"/>
      <c r="AQ1456" s="26"/>
      <c r="AR1456" s="26"/>
      <c r="AS1456" s="26"/>
      <c r="AT1456" s="26"/>
      <c r="AU1456" s="26"/>
      <c r="AV1456" s="26"/>
      <c r="AW1456" s="26"/>
      <c r="AX1456" s="26"/>
      <c r="AY1456" s="26"/>
    </row>
    <row r="1457" spans="1:51" ht="12.75" customHeight="1">
      <c r="A1457" s="26"/>
      <c r="B1457" s="66"/>
      <c r="C1457" s="67"/>
      <c r="D1457" s="67"/>
      <c r="E1457" s="26"/>
      <c r="F1457" s="26"/>
      <c r="G1457" s="26"/>
      <c r="H1457" s="26"/>
      <c r="I1457" s="26"/>
      <c r="J1457" s="26"/>
      <c r="K1457" s="26"/>
      <c r="L1457" s="26"/>
      <c r="M1457" s="26"/>
      <c r="N1457" s="26"/>
      <c r="O1457" s="26"/>
      <c r="P1457" s="26"/>
      <c r="Q1457" s="26"/>
      <c r="R1457" s="26"/>
      <c r="S1457" s="26"/>
      <c r="T1457" s="26"/>
      <c r="U1457" s="26"/>
      <c r="V1457" s="26"/>
      <c r="W1457" s="26"/>
      <c r="X1457" s="26"/>
      <c r="Y1457" s="26"/>
      <c r="Z1457" s="26"/>
      <c r="AA1457" s="26"/>
      <c r="AB1457" s="26"/>
      <c r="AC1457" s="26"/>
      <c r="AD1457" s="26"/>
      <c r="AE1457" s="26"/>
      <c r="AF1457" s="26"/>
      <c r="AG1457" s="26"/>
      <c r="AH1457" s="26"/>
      <c r="AI1457" s="26"/>
      <c r="AJ1457" s="26"/>
      <c r="AK1457" s="26"/>
      <c r="AL1457" s="26"/>
      <c r="AM1457" s="26"/>
      <c r="AN1457" s="26"/>
      <c r="AO1457" s="26"/>
      <c r="AP1457" s="26"/>
      <c r="AQ1457" s="26"/>
      <c r="AR1457" s="26"/>
      <c r="AS1457" s="26"/>
      <c r="AT1457" s="26"/>
      <c r="AU1457" s="26"/>
      <c r="AV1457" s="26"/>
      <c r="AW1457" s="26"/>
      <c r="AX1457" s="26"/>
      <c r="AY1457" s="26"/>
    </row>
    <row r="1458" spans="1:51" ht="12.75" customHeight="1">
      <c r="A1458" s="26"/>
      <c r="B1458" s="66"/>
      <c r="C1458" s="67"/>
      <c r="D1458" s="67"/>
      <c r="E1458" s="26"/>
      <c r="F1458" s="26"/>
      <c r="G1458" s="26"/>
      <c r="H1458" s="26"/>
      <c r="I1458" s="26"/>
      <c r="J1458" s="26"/>
      <c r="K1458" s="26"/>
      <c r="L1458" s="26"/>
      <c r="M1458" s="26"/>
      <c r="N1458" s="26"/>
      <c r="O1458" s="26"/>
      <c r="P1458" s="26"/>
      <c r="Q1458" s="26"/>
      <c r="R1458" s="26"/>
      <c r="S1458" s="26"/>
      <c r="T1458" s="26"/>
      <c r="U1458" s="26"/>
      <c r="V1458" s="26"/>
      <c r="W1458" s="26"/>
      <c r="X1458" s="26"/>
      <c r="Y1458" s="26"/>
      <c r="Z1458" s="26"/>
      <c r="AA1458" s="26"/>
      <c r="AB1458" s="26"/>
      <c r="AC1458" s="26"/>
      <c r="AD1458" s="26"/>
      <c r="AE1458" s="26"/>
      <c r="AF1458" s="26"/>
      <c r="AG1458" s="26"/>
      <c r="AH1458" s="26"/>
      <c r="AI1458" s="26"/>
      <c r="AJ1458" s="26"/>
      <c r="AK1458" s="26"/>
      <c r="AL1458" s="26"/>
      <c r="AM1458" s="26"/>
      <c r="AN1458" s="26"/>
      <c r="AO1458" s="26"/>
      <c r="AP1458" s="26"/>
      <c r="AQ1458" s="26"/>
      <c r="AR1458" s="26"/>
      <c r="AS1458" s="26"/>
      <c r="AT1458" s="26"/>
      <c r="AU1458" s="26"/>
      <c r="AV1458" s="26"/>
      <c r="AW1458" s="26"/>
      <c r="AX1458" s="26"/>
      <c r="AY1458" s="26"/>
    </row>
    <row r="1459" spans="1:51" ht="12.75" customHeight="1">
      <c r="A1459" s="26"/>
      <c r="B1459" s="66"/>
      <c r="C1459" s="67"/>
      <c r="D1459" s="67"/>
      <c r="E1459" s="26"/>
      <c r="F1459" s="26"/>
      <c r="G1459" s="26"/>
      <c r="H1459" s="26"/>
      <c r="I1459" s="26"/>
      <c r="J1459" s="26"/>
      <c r="K1459" s="26"/>
      <c r="L1459" s="26"/>
      <c r="M1459" s="26"/>
      <c r="N1459" s="26"/>
      <c r="O1459" s="26"/>
      <c r="P1459" s="26"/>
      <c r="Q1459" s="26"/>
      <c r="R1459" s="26"/>
      <c r="S1459" s="26"/>
      <c r="T1459" s="26"/>
      <c r="U1459" s="26"/>
      <c r="V1459" s="26"/>
      <c r="W1459" s="26"/>
      <c r="X1459" s="26"/>
      <c r="Y1459" s="26"/>
      <c r="Z1459" s="26"/>
      <c r="AA1459" s="26"/>
      <c r="AB1459" s="26"/>
      <c r="AC1459" s="26"/>
      <c r="AD1459" s="26"/>
      <c r="AE1459" s="26"/>
      <c r="AF1459" s="26"/>
      <c r="AG1459" s="26"/>
      <c r="AH1459" s="26"/>
      <c r="AI1459" s="26"/>
      <c r="AJ1459" s="26"/>
      <c r="AK1459" s="26"/>
      <c r="AL1459" s="26"/>
      <c r="AM1459" s="26"/>
      <c r="AN1459" s="26"/>
      <c r="AO1459" s="26"/>
      <c r="AP1459" s="26"/>
      <c r="AQ1459" s="26"/>
      <c r="AR1459" s="26"/>
      <c r="AS1459" s="26"/>
      <c r="AT1459" s="26"/>
      <c r="AU1459" s="26"/>
      <c r="AV1459" s="26"/>
      <c r="AW1459" s="26"/>
      <c r="AX1459" s="26"/>
      <c r="AY1459" s="26"/>
    </row>
    <row r="1460" spans="1:51" ht="12.75" customHeight="1">
      <c r="A1460" s="26"/>
      <c r="B1460" s="66"/>
      <c r="C1460" s="67"/>
      <c r="D1460" s="67"/>
      <c r="E1460" s="26"/>
      <c r="F1460" s="26"/>
      <c r="G1460" s="26"/>
      <c r="H1460" s="26"/>
      <c r="I1460" s="26"/>
      <c r="J1460" s="26"/>
      <c r="K1460" s="26"/>
      <c r="L1460" s="26"/>
      <c r="M1460" s="26"/>
      <c r="N1460" s="26"/>
      <c r="O1460" s="26"/>
      <c r="P1460" s="26"/>
      <c r="Q1460" s="26"/>
      <c r="R1460" s="26"/>
      <c r="S1460" s="26"/>
      <c r="T1460" s="26"/>
      <c r="U1460" s="26"/>
      <c r="V1460" s="26"/>
      <c r="W1460" s="26"/>
      <c r="X1460" s="26"/>
      <c r="Y1460" s="26"/>
      <c r="Z1460" s="26"/>
      <c r="AA1460" s="26"/>
      <c r="AB1460" s="26"/>
      <c r="AC1460" s="26"/>
      <c r="AD1460" s="26"/>
      <c r="AE1460" s="26"/>
      <c r="AF1460" s="26"/>
      <c r="AG1460" s="26"/>
      <c r="AH1460" s="26"/>
      <c r="AI1460" s="26"/>
      <c r="AJ1460" s="26"/>
      <c r="AK1460" s="26"/>
      <c r="AL1460" s="26"/>
      <c r="AM1460" s="26"/>
      <c r="AN1460" s="26"/>
      <c r="AO1460" s="26"/>
      <c r="AP1460" s="26"/>
      <c r="AQ1460" s="26"/>
      <c r="AR1460" s="26"/>
      <c r="AS1460" s="26"/>
      <c r="AT1460" s="26"/>
      <c r="AU1460" s="26"/>
      <c r="AV1460" s="26"/>
      <c r="AW1460" s="26"/>
      <c r="AX1460" s="26"/>
      <c r="AY1460" s="26"/>
    </row>
    <row r="1461" spans="1:51" ht="12.75" customHeight="1">
      <c r="A1461" s="26"/>
      <c r="B1461" s="66"/>
      <c r="C1461" s="67"/>
      <c r="D1461" s="67"/>
      <c r="E1461" s="26"/>
      <c r="F1461" s="26"/>
      <c r="G1461" s="26"/>
      <c r="H1461" s="26"/>
      <c r="I1461" s="26"/>
      <c r="J1461" s="26"/>
      <c r="K1461" s="26"/>
      <c r="L1461" s="26"/>
      <c r="M1461" s="26"/>
      <c r="N1461" s="26"/>
      <c r="O1461" s="26"/>
      <c r="P1461" s="26"/>
      <c r="Q1461" s="26"/>
      <c r="R1461" s="26"/>
      <c r="S1461" s="26"/>
      <c r="T1461" s="26"/>
      <c r="U1461" s="26"/>
      <c r="V1461" s="26"/>
      <c r="W1461" s="26"/>
      <c r="X1461" s="26"/>
      <c r="Y1461" s="26"/>
      <c r="Z1461" s="26"/>
      <c r="AA1461" s="26"/>
      <c r="AB1461" s="26"/>
      <c r="AC1461" s="26"/>
      <c r="AD1461" s="26"/>
      <c r="AE1461" s="26"/>
      <c r="AF1461" s="26"/>
      <c r="AG1461" s="26"/>
      <c r="AH1461" s="26"/>
      <c r="AI1461" s="26"/>
      <c r="AJ1461" s="26"/>
      <c r="AK1461" s="26"/>
      <c r="AL1461" s="26"/>
      <c r="AM1461" s="26"/>
      <c r="AN1461" s="26"/>
      <c r="AO1461" s="26"/>
      <c r="AP1461" s="26"/>
      <c r="AQ1461" s="26"/>
      <c r="AR1461" s="26"/>
      <c r="AS1461" s="26"/>
      <c r="AT1461" s="26"/>
      <c r="AU1461" s="26"/>
      <c r="AV1461" s="26"/>
      <c r="AW1461" s="26"/>
      <c r="AX1461" s="26"/>
      <c r="AY1461" s="26"/>
    </row>
    <row r="1462" spans="1:51" ht="12.75" customHeight="1">
      <c r="A1462" s="26"/>
      <c r="B1462" s="66"/>
      <c r="C1462" s="67"/>
      <c r="D1462" s="67"/>
      <c r="E1462" s="26"/>
      <c r="F1462" s="26"/>
      <c r="G1462" s="26"/>
      <c r="H1462" s="26"/>
      <c r="I1462" s="26"/>
      <c r="J1462" s="26"/>
      <c r="K1462" s="26"/>
      <c r="L1462" s="26"/>
      <c r="M1462" s="26"/>
      <c r="N1462" s="26"/>
      <c r="O1462" s="26"/>
      <c r="P1462" s="26"/>
      <c r="Q1462" s="26"/>
      <c r="R1462" s="26"/>
      <c r="S1462" s="26"/>
      <c r="T1462" s="26"/>
      <c r="U1462" s="26"/>
      <c r="V1462" s="26"/>
      <c r="W1462" s="26"/>
      <c r="X1462" s="26"/>
      <c r="Y1462" s="26"/>
      <c r="Z1462" s="26"/>
      <c r="AA1462" s="26"/>
      <c r="AB1462" s="26"/>
      <c r="AC1462" s="26"/>
      <c r="AD1462" s="26"/>
      <c r="AE1462" s="26"/>
      <c r="AF1462" s="26"/>
      <c r="AG1462" s="26"/>
      <c r="AH1462" s="26"/>
      <c r="AI1462" s="26"/>
      <c r="AJ1462" s="26"/>
      <c r="AK1462" s="26"/>
      <c r="AL1462" s="26"/>
      <c r="AM1462" s="26"/>
      <c r="AN1462" s="26"/>
      <c r="AO1462" s="26"/>
      <c r="AP1462" s="26"/>
      <c r="AQ1462" s="26"/>
      <c r="AR1462" s="26"/>
      <c r="AS1462" s="26"/>
      <c r="AT1462" s="26"/>
      <c r="AU1462" s="26"/>
      <c r="AV1462" s="26"/>
      <c r="AW1462" s="26"/>
      <c r="AX1462" s="26"/>
      <c r="AY1462" s="26"/>
    </row>
    <row r="1463" spans="1:51" ht="12.75" customHeight="1">
      <c r="A1463" s="26"/>
      <c r="B1463" s="66"/>
      <c r="C1463" s="67"/>
      <c r="D1463" s="67"/>
      <c r="E1463" s="26"/>
      <c r="F1463" s="26"/>
      <c r="G1463" s="26"/>
      <c r="H1463" s="26"/>
      <c r="I1463" s="26"/>
      <c r="J1463" s="26"/>
      <c r="K1463" s="26"/>
      <c r="L1463" s="26"/>
      <c r="M1463" s="26"/>
      <c r="N1463" s="26"/>
      <c r="O1463" s="26"/>
      <c r="P1463" s="26"/>
      <c r="Q1463" s="26"/>
      <c r="R1463" s="26"/>
      <c r="S1463" s="26"/>
      <c r="T1463" s="26"/>
      <c r="U1463" s="26"/>
      <c r="V1463" s="26"/>
      <c r="W1463" s="26"/>
      <c r="X1463" s="26"/>
      <c r="Y1463" s="26"/>
      <c r="Z1463" s="26"/>
      <c r="AA1463" s="26"/>
      <c r="AB1463" s="26"/>
      <c r="AC1463" s="26"/>
      <c r="AD1463" s="26"/>
      <c r="AE1463" s="26"/>
      <c r="AF1463" s="26"/>
      <c r="AG1463" s="26"/>
      <c r="AH1463" s="26"/>
      <c r="AI1463" s="26"/>
      <c r="AJ1463" s="26"/>
      <c r="AK1463" s="26"/>
      <c r="AL1463" s="26"/>
      <c r="AM1463" s="26"/>
      <c r="AN1463" s="26"/>
      <c r="AO1463" s="26"/>
      <c r="AP1463" s="26"/>
      <c r="AQ1463" s="26"/>
      <c r="AR1463" s="26"/>
      <c r="AS1463" s="26"/>
      <c r="AT1463" s="26"/>
      <c r="AU1463" s="26"/>
      <c r="AV1463" s="26"/>
      <c r="AW1463" s="26"/>
      <c r="AX1463" s="26"/>
      <c r="AY1463" s="26"/>
    </row>
    <row r="1464" spans="1:51" ht="12.75" customHeight="1">
      <c r="A1464" s="26"/>
      <c r="B1464" s="66"/>
      <c r="C1464" s="67"/>
      <c r="D1464" s="67"/>
      <c r="E1464" s="26"/>
      <c r="F1464" s="26"/>
      <c r="G1464" s="26"/>
      <c r="H1464" s="26"/>
      <c r="I1464" s="26"/>
      <c r="J1464" s="26"/>
      <c r="K1464" s="26"/>
      <c r="L1464" s="26"/>
      <c r="M1464" s="26"/>
      <c r="N1464" s="26"/>
      <c r="O1464" s="26"/>
      <c r="P1464" s="26"/>
      <c r="Q1464" s="26"/>
      <c r="R1464" s="26"/>
      <c r="S1464" s="26"/>
      <c r="T1464" s="26"/>
      <c r="U1464" s="26"/>
      <c r="V1464" s="26"/>
      <c r="W1464" s="26"/>
      <c r="X1464" s="26"/>
      <c r="Y1464" s="26"/>
      <c r="Z1464" s="26"/>
      <c r="AA1464" s="26"/>
      <c r="AB1464" s="26"/>
      <c r="AC1464" s="26"/>
      <c r="AD1464" s="26"/>
      <c r="AE1464" s="26"/>
      <c r="AF1464" s="26"/>
      <c r="AG1464" s="26"/>
      <c r="AH1464" s="26"/>
      <c r="AI1464" s="26"/>
      <c r="AJ1464" s="26"/>
      <c r="AK1464" s="26"/>
      <c r="AL1464" s="26"/>
      <c r="AM1464" s="26"/>
      <c r="AN1464" s="26"/>
      <c r="AO1464" s="26"/>
      <c r="AP1464" s="26"/>
      <c r="AQ1464" s="26"/>
      <c r="AR1464" s="26"/>
      <c r="AS1464" s="26"/>
      <c r="AT1464" s="26"/>
      <c r="AU1464" s="26"/>
      <c r="AV1464" s="26"/>
      <c r="AW1464" s="26"/>
      <c r="AX1464" s="26"/>
      <c r="AY1464" s="26"/>
    </row>
    <row r="1465" spans="1:51" ht="12.75" customHeight="1">
      <c r="A1465" s="26"/>
      <c r="B1465" s="66"/>
      <c r="C1465" s="67"/>
      <c r="D1465" s="67"/>
      <c r="E1465" s="26"/>
      <c r="F1465" s="26"/>
      <c r="G1465" s="26"/>
      <c r="H1465" s="26"/>
      <c r="I1465" s="26"/>
      <c r="J1465" s="26"/>
      <c r="K1465" s="26"/>
      <c r="L1465" s="26"/>
      <c r="M1465" s="26"/>
      <c r="N1465" s="26"/>
      <c r="O1465" s="26"/>
      <c r="P1465" s="26"/>
      <c r="Q1465" s="26"/>
      <c r="R1465" s="26"/>
      <c r="S1465" s="26"/>
      <c r="T1465" s="26"/>
      <c r="U1465" s="26"/>
      <c r="V1465" s="26"/>
      <c r="W1465" s="26"/>
      <c r="X1465" s="26"/>
      <c r="Y1465" s="26"/>
      <c r="Z1465" s="26"/>
      <c r="AA1465" s="26"/>
      <c r="AB1465" s="26"/>
      <c r="AC1465" s="26"/>
      <c r="AD1465" s="26"/>
      <c r="AE1465" s="26"/>
      <c r="AF1465" s="26"/>
      <c r="AG1465" s="26"/>
      <c r="AH1465" s="26"/>
      <c r="AI1465" s="26"/>
      <c r="AJ1465" s="26"/>
      <c r="AK1465" s="26"/>
      <c r="AL1465" s="26"/>
      <c r="AM1465" s="26"/>
      <c r="AN1465" s="26"/>
      <c r="AO1465" s="26"/>
      <c r="AP1465" s="26"/>
      <c r="AQ1465" s="26"/>
      <c r="AR1465" s="26"/>
      <c r="AS1465" s="26"/>
      <c r="AT1465" s="26"/>
      <c r="AU1465" s="26"/>
      <c r="AV1465" s="26"/>
      <c r="AW1465" s="26"/>
      <c r="AX1465" s="26"/>
      <c r="AY1465" s="26"/>
    </row>
    <row r="1466" spans="1:51" ht="12.75" customHeight="1">
      <c r="A1466" s="26"/>
      <c r="B1466" s="66"/>
      <c r="C1466" s="67"/>
      <c r="D1466" s="67"/>
      <c r="E1466" s="26"/>
      <c r="F1466" s="26"/>
      <c r="G1466" s="26"/>
      <c r="H1466" s="26"/>
      <c r="I1466" s="26"/>
      <c r="J1466" s="26"/>
      <c r="K1466" s="26"/>
      <c r="L1466" s="26"/>
      <c r="M1466" s="26"/>
      <c r="N1466" s="26"/>
      <c r="O1466" s="26"/>
      <c r="P1466" s="26"/>
      <c r="Q1466" s="26"/>
      <c r="R1466" s="26"/>
      <c r="S1466" s="26"/>
      <c r="T1466" s="26"/>
      <c r="U1466" s="26"/>
      <c r="V1466" s="26"/>
      <c r="W1466" s="26"/>
      <c r="X1466" s="26"/>
      <c r="Y1466" s="26"/>
      <c r="Z1466" s="26"/>
      <c r="AA1466" s="26"/>
      <c r="AB1466" s="26"/>
      <c r="AC1466" s="26"/>
      <c r="AD1466" s="26"/>
      <c r="AE1466" s="26"/>
      <c r="AF1466" s="26"/>
      <c r="AG1466" s="26"/>
      <c r="AH1466" s="26"/>
      <c r="AI1466" s="26"/>
      <c r="AJ1466" s="26"/>
      <c r="AK1466" s="26"/>
      <c r="AL1466" s="26"/>
      <c r="AM1466" s="26"/>
      <c r="AN1466" s="26"/>
      <c r="AO1466" s="26"/>
      <c r="AP1466" s="26"/>
      <c r="AQ1466" s="26"/>
      <c r="AR1466" s="26"/>
      <c r="AS1466" s="26"/>
      <c r="AT1466" s="26"/>
      <c r="AU1466" s="26"/>
      <c r="AV1466" s="26"/>
      <c r="AW1466" s="26"/>
      <c r="AX1466" s="26"/>
      <c r="AY1466" s="26"/>
    </row>
    <row r="1467" spans="1:51" ht="12.75" customHeight="1">
      <c r="A1467" s="26"/>
      <c r="B1467" s="66"/>
      <c r="C1467" s="67"/>
      <c r="D1467" s="67"/>
      <c r="E1467" s="26"/>
      <c r="F1467" s="26"/>
      <c r="G1467" s="26"/>
      <c r="H1467" s="26"/>
      <c r="I1467" s="26"/>
      <c r="J1467" s="26"/>
      <c r="K1467" s="26"/>
      <c r="L1467" s="26"/>
      <c r="M1467" s="26"/>
      <c r="N1467" s="26"/>
      <c r="O1467" s="26"/>
      <c r="P1467" s="26"/>
      <c r="Q1467" s="26"/>
      <c r="R1467" s="26"/>
      <c r="S1467" s="26"/>
      <c r="T1467" s="26"/>
      <c r="U1467" s="26"/>
      <c r="V1467" s="26"/>
      <c r="W1467" s="26"/>
      <c r="X1467" s="26"/>
      <c r="Y1467" s="26"/>
      <c r="Z1467" s="26"/>
      <c r="AA1467" s="26"/>
      <c r="AB1467" s="26"/>
      <c r="AC1467" s="26"/>
      <c r="AD1467" s="26"/>
      <c r="AE1467" s="26"/>
      <c r="AF1467" s="26"/>
      <c r="AG1467" s="26"/>
      <c r="AH1467" s="26"/>
      <c r="AI1467" s="26"/>
      <c r="AJ1467" s="26"/>
      <c r="AK1467" s="26"/>
      <c r="AL1467" s="26"/>
      <c r="AM1467" s="26"/>
      <c r="AN1467" s="26"/>
      <c r="AO1467" s="26"/>
      <c r="AP1467" s="26"/>
      <c r="AQ1467" s="26"/>
      <c r="AR1467" s="26"/>
      <c r="AS1467" s="26"/>
      <c r="AT1467" s="26"/>
      <c r="AU1467" s="26"/>
      <c r="AV1467" s="26"/>
      <c r="AW1467" s="26"/>
      <c r="AX1467" s="26"/>
      <c r="AY1467" s="26"/>
    </row>
    <row r="1468" spans="1:51" ht="12.75" customHeight="1">
      <c r="A1468" s="26"/>
      <c r="B1468" s="66"/>
      <c r="C1468" s="67"/>
      <c r="D1468" s="67"/>
      <c r="E1468" s="26"/>
      <c r="F1468" s="26"/>
      <c r="G1468" s="26"/>
      <c r="H1468" s="26"/>
      <c r="I1468" s="26"/>
      <c r="J1468" s="26"/>
      <c r="K1468" s="26"/>
      <c r="L1468" s="26"/>
      <c r="M1468" s="26"/>
      <c r="N1468" s="26"/>
      <c r="O1468" s="26"/>
      <c r="P1468" s="26"/>
      <c r="Q1468" s="26"/>
      <c r="R1468" s="26"/>
      <c r="S1468" s="26"/>
      <c r="T1468" s="26"/>
      <c r="U1468" s="26"/>
      <c r="V1468" s="26"/>
      <c r="W1468" s="26"/>
      <c r="X1468" s="26"/>
      <c r="Y1468" s="26"/>
      <c r="Z1468" s="26"/>
      <c r="AA1468" s="26"/>
      <c r="AB1468" s="26"/>
      <c r="AC1468" s="26"/>
      <c r="AD1468" s="26"/>
      <c r="AE1468" s="26"/>
      <c r="AF1468" s="26"/>
      <c r="AG1468" s="26"/>
      <c r="AH1468" s="26"/>
      <c r="AI1468" s="26"/>
      <c r="AJ1468" s="26"/>
      <c r="AK1468" s="26"/>
      <c r="AL1468" s="26"/>
      <c r="AM1468" s="26"/>
      <c r="AN1468" s="26"/>
      <c r="AO1468" s="26"/>
      <c r="AP1468" s="26"/>
      <c r="AQ1468" s="26"/>
      <c r="AR1468" s="26"/>
      <c r="AS1468" s="26"/>
      <c r="AT1468" s="26"/>
      <c r="AU1468" s="26"/>
      <c r="AV1468" s="26"/>
      <c r="AW1468" s="26"/>
      <c r="AX1468" s="26"/>
      <c r="AY1468" s="26"/>
    </row>
    <row r="1469" spans="1:51" ht="12.75" customHeight="1">
      <c r="A1469" s="26"/>
      <c r="B1469" s="66"/>
      <c r="C1469" s="67"/>
      <c r="D1469" s="67"/>
      <c r="E1469" s="26"/>
      <c r="F1469" s="26"/>
      <c r="G1469" s="26"/>
      <c r="H1469" s="26"/>
      <c r="I1469" s="26"/>
      <c r="J1469" s="26"/>
      <c r="K1469" s="26"/>
      <c r="L1469" s="26"/>
      <c r="M1469" s="26"/>
      <c r="N1469" s="26"/>
      <c r="O1469" s="26"/>
      <c r="P1469" s="26"/>
      <c r="Q1469" s="26"/>
      <c r="R1469" s="26"/>
      <c r="S1469" s="26"/>
      <c r="T1469" s="26"/>
      <c r="U1469" s="26"/>
      <c r="V1469" s="26"/>
      <c r="W1469" s="26"/>
      <c r="X1469" s="26"/>
      <c r="Y1469" s="26"/>
      <c r="Z1469" s="26"/>
      <c r="AA1469" s="26"/>
      <c r="AB1469" s="26"/>
      <c r="AC1469" s="26"/>
      <c r="AD1469" s="26"/>
      <c r="AE1469" s="26"/>
      <c r="AF1469" s="26"/>
      <c r="AG1469" s="26"/>
      <c r="AH1469" s="26"/>
      <c r="AI1469" s="26"/>
      <c r="AJ1469" s="26"/>
      <c r="AK1469" s="26"/>
      <c r="AL1469" s="26"/>
      <c r="AM1469" s="26"/>
      <c r="AN1469" s="26"/>
      <c r="AO1469" s="26"/>
      <c r="AP1469" s="26"/>
      <c r="AQ1469" s="26"/>
      <c r="AR1469" s="26"/>
      <c r="AS1469" s="26"/>
      <c r="AT1469" s="26"/>
      <c r="AU1469" s="26"/>
      <c r="AV1469" s="26"/>
      <c r="AW1469" s="26"/>
      <c r="AX1469" s="26"/>
      <c r="AY1469" s="26"/>
    </row>
    <row r="1470" spans="1:51" ht="12.75" customHeight="1">
      <c r="A1470" s="26"/>
      <c r="B1470" s="66"/>
      <c r="C1470" s="67"/>
      <c r="D1470" s="67"/>
      <c r="E1470" s="26"/>
      <c r="F1470" s="26"/>
      <c r="G1470" s="26"/>
      <c r="H1470" s="26"/>
      <c r="I1470" s="26"/>
      <c r="J1470" s="26"/>
      <c r="K1470" s="26"/>
      <c r="L1470" s="26"/>
      <c r="M1470" s="26"/>
      <c r="N1470" s="26"/>
      <c r="O1470" s="26"/>
      <c r="P1470" s="26"/>
      <c r="Q1470" s="26"/>
      <c r="R1470" s="26"/>
      <c r="S1470" s="26"/>
      <c r="T1470" s="26"/>
      <c r="U1470" s="26"/>
      <c r="V1470" s="26"/>
      <c r="W1470" s="26"/>
      <c r="X1470" s="26"/>
      <c r="Y1470" s="26"/>
      <c r="Z1470" s="26"/>
      <c r="AA1470" s="26"/>
      <c r="AB1470" s="26"/>
      <c r="AC1470" s="26"/>
      <c r="AD1470" s="26"/>
      <c r="AE1470" s="26"/>
      <c r="AF1470" s="26"/>
      <c r="AG1470" s="26"/>
      <c r="AH1470" s="26"/>
      <c r="AI1470" s="26"/>
      <c r="AJ1470" s="26"/>
      <c r="AK1470" s="26"/>
      <c r="AL1470" s="26"/>
      <c r="AM1470" s="26"/>
      <c r="AN1470" s="26"/>
      <c r="AO1470" s="26"/>
      <c r="AP1470" s="26"/>
      <c r="AQ1470" s="26"/>
      <c r="AR1470" s="26"/>
      <c r="AS1470" s="26"/>
      <c r="AT1470" s="26"/>
      <c r="AU1470" s="26"/>
      <c r="AV1470" s="26"/>
      <c r="AW1470" s="26"/>
      <c r="AX1470" s="26"/>
      <c r="AY1470" s="26"/>
    </row>
    <row r="1471" spans="1:51" ht="12.75" customHeight="1">
      <c r="A1471" s="26"/>
      <c r="B1471" s="66"/>
      <c r="C1471" s="67"/>
      <c r="D1471" s="67"/>
      <c r="E1471" s="26"/>
      <c r="F1471" s="26"/>
      <c r="G1471" s="26"/>
      <c r="H1471" s="26"/>
      <c r="I1471" s="26"/>
      <c r="J1471" s="26"/>
      <c r="K1471" s="26"/>
      <c r="L1471" s="26"/>
      <c r="M1471" s="26"/>
      <c r="N1471" s="26"/>
      <c r="O1471" s="26"/>
      <c r="P1471" s="26"/>
      <c r="Q1471" s="26"/>
      <c r="R1471" s="26"/>
      <c r="S1471" s="26"/>
      <c r="T1471" s="26"/>
      <c r="U1471" s="26"/>
      <c r="V1471" s="26"/>
      <c r="W1471" s="26"/>
      <c r="X1471" s="26"/>
      <c r="Y1471" s="26"/>
      <c r="Z1471" s="26"/>
      <c r="AA1471" s="26"/>
      <c r="AB1471" s="26"/>
      <c r="AC1471" s="26"/>
      <c r="AD1471" s="26"/>
      <c r="AE1471" s="26"/>
      <c r="AF1471" s="26"/>
      <c r="AG1471" s="26"/>
      <c r="AH1471" s="26"/>
      <c r="AI1471" s="26"/>
      <c r="AJ1471" s="26"/>
      <c r="AK1471" s="26"/>
      <c r="AL1471" s="26"/>
      <c r="AM1471" s="26"/>
      <c r="AN1471" s="26"/>
      <c r="AO1471" s="26"/>
      <c r="AP1471" s="26"/>
      <c r="AQ1471" s="26"/>
      <c r="AR1471" s="26"/>
      <c r="AS1471" s="26"/>
      <c r="AT1471" s="26"/>
      <c r="AU1471" s="26"/>
      <c r="AV1471" s="26"/>
      <c r="AW1471" s="26"/>
      <c r="AX1471" s="26"/>
      <c r="AY1471" s="26"/>
    </row>
    <row r="1472" spans="1:51" ht="12.75" customHeight="1">
      <c r="A1472" s="26"/>
      <c r="B1472" s="66"/>
      <c r="C1472" s="67"/>
      <c r="D1472" s="67"/>
      <c r="E1472" s="26"/>
      <c r="F1472" s="26"/>
      <c r="G1472" s="26"/>
      <c r="H1472" s="26"/>
      <c r="I1472" s="26"/>
      <c r="J1472" s="26"/>
      <c r="K1472" s="26"/>
      <c r="L1472" s="26"/>
      <c r="M1472" s="26"/>
      <c r="N1472" s="26"/>
      <c r="O1472" s="26"/>
      <c r="P1472" s="26"/>
      <c r="Q1472" s="26"/>
      <c r="R1472" s="26"/>
      <c r="S1472" s="26"/>
      <c r="T1472" s="26"/>
      <c r="U1472" s="26"/>
      <c r="V1472" s="26"/>
      <c r="W1472" s="26"/>
      <c r="X1472" s="26"/>
      <c r="Y1472" s="26"/>
      <c r="Z1472" s="26"/>
      <c r="AA1472" s="26"/>
      <c r="AB1472" s="26"/>
      <c r="AC1472" s="26"/>
      <c r="AD1472" s="26"/>
      <c r="AE1472" s="26"/>
      <c r="AF1472" s="26"/>
      <c r="AG1472" s="26"/>
      <c r="AH1472" s="26"/>
      <c r="AI1472" s="26"/>
      <c r="AJ1472" s="26"/>
      <c r="AK1472" s="26"/>
      <c r="AL1472" s="26"/>
      <c r="AM1472" s="26"/>
      <c r="AN1472" s="26"/>
      <c r="AO1472" s="26"/>
      <c r="AP1472" s="26"/>
      <c r="AQ1472" s="26"/>
      <c r="AR1472" s="26"/>
      <c r="AS1472" s="26"/>
      <c r="AT1472" s="26"/>
      <c r="AU1472" s="26"/>
      <c r="AV1472" s="26"/>
      <c r="AW1472" s="26"/>
      <c r="AX1472" s="26"/>
      <c r="AY1472" s="26"/>
    </row>
    <row r="1473" spans="1:51" ht="12.75" customHeight="1">
      <c r="A1473" s="26"/>
      <c r="B1473" s="66"/>
      <c r="C1473" s="67"/>
      <c r="D1473" s="67"/>
      <c r="E1473" s="26"/>
      <c r="F1473" s="26"/>
      <c r="G1473" s="26"/>
      <c r="H1473" s="26"/>
      <c r="I1473" s="26"/>
      <c r="J1473" s="26"/>
      <c r="K1473" s="26"/>
      <c r="L1473" s="26"/>
      <c r="M1473" s="26"/>
      <c r="N1473" s="26"/>
      <c r="O1473" s="26"/>
      <c r="P1473" s="26"/>
      <c r="Q1473" s="26"/>
      <c r="R1473" s="26"/>
      <c r="S1473" s="26"/>
      <c r="T1473" s="26"/>
      <c r="U1473" s="26"/>
      <c r="V1473" s="26"/>
      <c r="W1473" s="26"/>
      <c r="X1473" s="26"/>
      <c r="Y1473" s="26"/>
      <c r="Z1473" s="26"/>
      <c r="AA1473" s="26"/>
      <c r="AB1473" s="26"/>
      <c r="AC1473" s="26"/>
      <c r="AD1473" s="26"/>
      <c r="AE1473" s="26"/>
      <c r="AF1473" s="26"/>
      <c r="AG1473" s="26"/>
      <c r="AH1473" s="26"/>
      <c r="AI1473" s="26"/>
      <c r="AJ1473" s="26"/>
      <c r="AK1473" s="26"/>
      <c r="AL1473" s="26"/>
      <c r="AM1473" s="26"/>
      <c r="AN1473" s="26"/>
      <c r="AO1473" s="26"/>
      <c r="AP1473" s="26"/>
      <c r="AQ1473" s="26"/>
      <c r="AR1473" s="26"/>
      <c r="AS1473" s="26"/>
      <c r="AT1473" s="26"/>
      <c r="AU1473" s="26"/>
      <c r="AV1473" s="26"/>
      <c r="AW1473" s="26"/>
      <c r="AX1473" s="26"/>
      <c r="AY1473" s="26"/>
    </row>
    <row r="1474" spans="1:51" ht="12.75" customHeight="1">
      <c r="A1474" s="26"/>
      <c r="B1474" s="66"/>
      <c r="C1474" s="67"/>
      <c r="D1474" s="67"/>
      <c r="E1474" s="26"/>
      <c r="F1474" s="26"/>
      <c r="G1474" s="26"/>
      <c r="H1474" s="26"/>
      <c r="I1474" s="26"/>
      <c r="J1474" s="26"/>
      <c r="K1474" s="26"/>
      <c r="L1474" s="26"/>
      <c r="M1474" s="26"/>
      <c r="N1474" s="26"/>
      <c r="O1474" s="26"/>
      <c r="P1474" s="26"/>
      <c r="Q1474" s="26"/>
      <c r="R1474" s="26"/>
      <c r="S1474" s="26"/>
      <c r="T1474" s="26"/>
      <c r="U1474" s="26"/>
      <c r="V1474" s="26"/>
      <c r="W1474" s="26"/>
      <c r="X1474" s="26"/>
      <c r="Y1474" s="26"/>
      <c r="Z1474" s="26"/>
      <c r="AA1474" s="26"/>
      <c r="AB1474" s="26"/>
      <c r="AC1474" s="26"/>
      <c r="AD1474" s="26"/>
      <c r="AE1474" s="26"/>
      <c r="AF1474" s="26"/>
      <c r="AG1474" s="26"/>
      <c r="AH1474" s="26"/>
      <c r="AI1474" s="26"/>
      <c r="AJ1474" s="26"/>
      <c r="AK1474" s="26"/>
      <c r="AL1474" s="26"/>
      <c r="AM1474" s="26"/>
      <c r="AN1474" s="26"/>
      <c r="AO1474" s="26"/>
      <c r="AP1474" s="26"/>
      <c r="AQ1474" s="26"/>
      <c r="AR1474" s="26"/>
      <c r="AS1474" s="26"/>
      <c r="AT1474" s="26"/>
      <c r="AU1474" s="26"/>
      <c r="AV1474" s="26"/>
      <c r="AW1474" s="26"/>
      <c r="AX1474" s="26"/>
      <c r="AY1474" s="26"/>
    </row>
    <row r="1475" spans="1:51" ht="12.75" customHeight="1">
      <c r="A1475" s="26"/>
      <c r="B1475" s="66"/>
      <c r="C1475" s="67"/>
      <c r="D1475" s="67"/>
      <c r="E1475" s="26"/>
      <c r="F1475" s="26"/>
      <c r="G1475" s="26"/>
      <c r="H1475" s="26"/>
      <c r="I1475" s="26"/>
      <c r="J1475" s="26"/>
      <c r="K1475" s="26"/>
      <c r="L1475" s="26"/>
      <c r="M1475" s="26"/>
      <c r="N1475" s="26"/>
      <c r="O1475" s="26"/>
      <c r="P1475" s="26"/>
      <c r="Q1475" s="26"/>
      <c r="R1475" s="26"/>
      <c r="S1475" s="26"/>
      <c r="T1475" s="26"/>
      <c r="U1475" s="26"/>
      <c r="V1475" s="26"/>
      <c r="W1475" s="26"/>
      <c r="X1475" s="26"/>
      <c r="Y1475" s="26"/>
      <c r="Z1475" s="26"/>
      <c r="AA1475" s="26"/>
      <c r="AB1475" s="26"/>
      <c r="AC1475" s="26"/>
      <c r="AD1475" s="26"/>
      <c r="AE1475" s="26"/>
      <c r="AF1475" s="26"/>
      <c r="AG1475" s="26"/>
      <c r="AH1475" s="26"/>
      <c r="AI1475" s="26"/>
      <c r="AJ1475" s="26"/>
      <c r="AK1475" s="26"/>
      <c r="AL1475" s="26"/>
      <c r="AM1475" s="26"/>
      <c r="AN1475" s="26"/>
      <c r="AO1475" s="26"/>
      <c r="AP1475" s="26"/>
      <c r="AQ1475" s="26"/>
      <c r="AR1475" s="26"/>
      <c r="AS1475" s="26"/>
      <c r="AT1475" s="26"/>
      <c r="AU1475" s="26"/>
      <c r="AV1475" s="26"/>
      <c r="AW1475" s="26"/>
      <c r="AX1475" s="26"/>
      <c r="AY1475" s="26"/>
    </row>
    <row r="1476" spans="1:51" ht="12.75" customHeight="1">
      <c r="A1476" s="26"/>
      <c r="B1476" s="66"/>
      <c r="C1476" s="67"/>
      <c r="D1476" s="67"/>
      <c r="E1476" s="26"/>
      <c r="F1476" s="26"/>
      <c r="G1476" s="26"/>
      <c r="H1476" s="26"/>
      <c r="I1476" s="26"/>
      <c r="J1476" s="26"/>
      <c r="K1476" s="26"/>
      <c r="L1476" s="26"/>
      <c r="M1476" s="26"/>
      <c r="N1476" s="26"/>
      <c r="O1476" s="26"/>
      <c r="P1476" s="26"/>
      <c r="Q1476" s="26"/>
      <c r="R1476" s="26"/>
      <c r="S1476" s="26"/>
      <c r="T1476" s="26"/>
      <c r="U1476" s="26"/>
      <c r="V1476" s="26"/>
      <c r="W1476" s="26"/>
      <c r="X1476" s="26"/>
      <c r="Y1476" s="26"/>
      <c r="Z1476" s="26"/>
      <c r="AA1476" s="26"/>
      <c r="AB1476" s="26"/>
      <c r="AC1476" s="26"/>
      <c r="AD1476" s="26"/>
      <c r="AE1476" s="26"/>
      <c r="AF1476" s="26"/>
      <c r="AG1476" s="26"/>
      <c r="AH1476" s="26"/>
      <c r="AI1476" s="26"/>
      <c r="AJ1476" s="26"/>
      <c r="AK1476" s="26"/>
      <c r="AL1476" s="26"/>
      <c r="AM1476" s="26"/>
      <c r="AN1476" s="26"/>
      <c r="AO1476" s="26"/>
      <c r="AP1476" s="26"/>
      <c r="AQ1476" s="26"/>
      <c r="AR1476" s="26"/>
      <c r="AS1476" s="26"/>
      <c r="AT1476" s="26"/>
      <c r="AU1476" s="26"/>
      <c r="AV1476" s="26"/>
      <c r="AW1476" s="26"/>
      <c r="AX1476" s="26"/>
      <c r="AY1476" s="26"/>
    </row>
    <row r="1477" spans="1:51" ht="12.75" customHeight="1">
      <c r="A1477" s="26"/>
      <c r="B1477" s="66"/>
      <c r="C1477" s="67"/>
      <c r="D1477" s="67"/>
      <c r="E1477" s="26"/>
      <c r="F1477" s="26"/>
      <c r="G1477" s="26"/>
      <c r="H1477" s="26"/>
      <c r="I1477" s="26"/>
      <c r="J1477" s="26"/>
      <c r="K1477" s="26"/>
      <c r="L1477" s="26"/>
      <c r="M1477" s="26"/>
      <c r="N1477" s="26"/>
      <c r="O1477" s="26"/>
      <c r="P1477" s="26"/>
      <c r="Q1477" s="26"/>
      <c r="R1477" s="26"/>
      <c r="S1477" s="26"/>
      <c r="T1477" s="26"/>
      <c r="U1477" s="26"/>
      <c r="V1477" s="26"/>
      <c r="W1477" s="26"/>
      <c r="X1477" s="26"/>
      <c r="Y1477" s="26"/>
      <c r="Z1477" s="26"/>
      <c r="AA1477" s="26"/>
      <c r="AB1477" s="26"/>
      <c r="AC1477" s="26"/>
      <c r="AD1477" s="26"/>
      <c r="AE1477" s="26"/>
      <c r="AF1477" s="26"/>
      <c r="AG1477" s="26"/>
      <c r="AH1477" s="26"/>
      <c r="AI1477" s="26"/>
      <c r="AJ1477" s="26"/>
      <c r="AK1477" s="26"/>
      <c r="AL1477" s="26"/>
      <c r="AM1477" s="26"/>
      <c r="AN1477" s="26"/>
      <c r="AO1477" s="26"/>
      <c r="AP1477" s="26"/>
      <c r="AQ1477" s="26"/>
      <c r="AR1477" s="26"/>
      <c r="AS1477" s="26"/>
      <c r="AT1477" s="26"/>
      <c r="AU1477" s="26"/>
      <c r="AV1477" s="26"/>
      <c r="AW1477" s="26"/>
      <c r="AX1477" s="26"/>
      <c r="AY1477" s="26"/>
    </row>
    <row r="1478" spans="1:51" ht="12.75" customHeight="1">
      <c r="A1478" s="26"/>
      <c r="B1478" s="66"/>
      <c r="C1478" s="67"/>
      <c r="D1478" s="67"/>
      <c r="E1478" s="26"/>
      <c r="F1478" s="26"/>
      <c r="G1478" s="26"/>
      <c r="H1478" s="26"/>
      <c r="I1478" s="26"/>
      <c r="J1478" s="26"/>
      <c r="K1478" s="26"/>
      <c r="L1478" s="26"/>
      <c r="M1478" s="26"/>
      <c r="N1478" s="26"/>
      <c r="O1478" s="26"/>
      <c r="P1478" s="26"/>
      <c r="Q1478" s="26"/>
      <c r="R1478" s="26"/>
      <c r="S1478" s="26"/>
      <c r="T1478" s="26"/>
      <c r="U1478" s="26"/>
      <c r="V1478" s="26"/>
      <c r="W1478" s="26"/>
      <c r="X1478" s="26"/>
      <c r="Y1478" s="26"/>
      <c r="Z1478" s="26"/>
      <c r="AA1478" s="26"/>
      <c r="AB1478" s="26"/>
      <c r="AC1478" s="26"/>
      <c r="AD1478" s="26"/>
      <c r="AE1478" s="26"/>
      <c r="AF1478" s="26"/>
      <c r="AG1478" s="26"/>
      <c r="AH1478" s="26"/>
      <c r="AI1478" s="26"/>
      <c r="AJ1478" s="26"/>
      <c r="AK1478" s="26"/>
      <c r="AL1478" s="26"/>
      <c r="AM1478" s="26"/>
      <c r="AN1478" s="26"/>
      <c r="AO1478" s="26"/>
      <c r="AP1478" s="26"/>
      <c r="AQ1478" s="26"/>
      <c r="AR1478" s="26"/>
      <c r="AS1478" s="26"/>
      <c r="AT1478" s="26"/>
      <c r="AU1478" s="26"/>
      <c r="AV1478" s="26"/>
      <c r="AW1478" s="26"/>
      <c r="AX1478" s="26"/>
      <c r="AY1478" s="26"/>
    </row>
    <row r="1479" spans="1:51" ht="12.75" customHeight="1">
      <c r="A1479" s="26"/>
      <c r="B1479" s="66"/>
      <c r="C1479" s="67"/>
      <c r="D1479" s="67"/>
      <c r="E1479" s="26"/>
      <c r="F1479" s="26"/>
      <c r="G1479" s="26"/>
      <c r="H1479" s="26"/>
      <c r="I1479" s="26"/>
      <c r="J1479" s="26"/>
      <c r="K1479" s="26"/>
      <c r="L1479" s="26"/>
      <c r="M1479" s="26"/>
      <c r="N1479" s="26"/>
      <c r="O1479" s="26"/>
      <c r="P1479" s="26"/>
      <c r="Q1479" s="26"/>
      <c r="R1479" s="26"/>
      <c r="S1479" s="26"/>
      <c r="T1479" s="26"/>
      <c r="U1479" s="26"/>
      <c r="V1479" s="26"/>
      <c r="W1479" s="26"/>
      <c r="X1479" s="26"/>
      <c r="Y1479" s="26"/>
      <c r="Z1479" s="26"/>
      <c r="AA1479" s="26"/>
      <c r="AB1479" s="26"/>
      <c r="AC1479" s="26"/>
      <c r="AD1479" s="26"/>
      <c r="AE1479" s="26"/>
      <c r="AF1479" s="26"/>
      <c r="AG1479" s="26"/>
      <c r="AH1479" s="26"/>
      <c r="AI1479" s="26"/>
      <c r="AJ1479" s="26"/>
      <c r="AK1479" s="26"/>
      <c r="AL1479" s="26"/>
      <c r="AM1479" s="26"/>
      <c r="AN1479" s="26"/>
      <c r="AO1479" s="26"/>
      <c r="AP1479" s="26"/>
      <c r="AQ1479" s="26"/>
      <c r="AR1479" s="26"/>
      <c r="AS1479" s="26"/>
      <c r="AT1479" s="26"/>
      <c r="AU1479" s="26"/>
      <c r="AV1479" s="26"/>
      <c r="AW1479" s="26"/>
      <c r="AX1479" s="26"/>
      <c r="AY1479" s="26"/>
    </row>
    <row r="1480" spans="1:51" ht="12.75" customHeight="1">
      <c r="A1480" s="26"/>
      <c r="B1480" s="66"/>
      <c r="C1480" s="67"/>
      <c r="D1480" s="67"/>
      <c r="E1480" s="26"/>
      <c r="F1480" s="26"/>
      <c r="G1480" s="26"/>
      <c r="H1480" s="26"/>
      <c r="I1480" s="26"/>
      <c r="J1480" s="26"/>
      <c r="K1480" s="26"/>
      <c r="L1480" s="26"/>
      <c r="M1480" s="26"/>
      <c r="N1480" s="26"/>
      <c r="O1480" s="26"/>
      <c r="P1480" s="26"/>
      <c r="Q1480" s="26"/>
      <c r="R1480" s="26"/>
      <c r="S1480" s="26"/>
      <c r="T1480" s="26"/>
      <c r="U1480" s="26"/>
      <c r="V1480" s="26"/>
      <c r="W1480" s="26"/>
      <c r="X1480" s="26"/>
      <c r="Y1480" s="26"/>
      <c r="Z1480" s="26"/>
      <c r="AA1480" s="26"/>
      <c r="AB1480" s="26"/>
      <c r="AC1480" s="26"/>
      <c r="AD1480" s="26"/>
      <c r="AE1480" s="26"/>
      <c r="AF1480" s="26"/>
      <c r="AG1480" s="26"/>
      <c r="AH1480" s="26"/>
      <c r="AI1480" s="26"/>
      <c r="AJ1480" s="26"/>
      <c r="AK1480" s="26"/>
      <c r="AL1480" s="26"/>
      <c r="AM1480" s="26"/>
      <c r="AN1480" s="26"/>
      <c r="AO1480" s="26"/>
      <c r="AP1480" s="26"/>
      <c r="AQ1480" s="26"/>
      <c r="AR1480" s="26"/>
      <c r="AS1480" s="26"/>
      <c r="AT1480" s="26"/>
      <c r="AU1480" s="26"/>
      <c r="AV1480" s="26"/>
      <c r="AW1480" s="26"/>
      <c r="AX1480" s="26"/>
      <c r="AY1480" s="26"/>
    </row>
    <row r="1481" spans="1:51" ht="12.75" customHeight="1">
      <c r="A1481" s="26"/>
      <c r="B1481" s="66"/>
      <c r="C1481" s="67"/>
      <c r="D1481" s="67"/>
      <c r="E1481" s="26"/>
      <c r="F1481" s="26"/>
      <c r="G1481" s="26"/>
      <c r="H1481" s="26"/>
      <c r="I1481" s="26"/>
      <c r="J1481" s="26"/>
      <c r="K1481" s="26"/>
      <c r="L1481" s="26"/>
      <c r="M1481" s="26"/>
      <c r="N1481" s="26"/>
      <c r="O1481" s="26"/>
      <c r="P1481" s="26"/>
      <c r="Q1481" s="26"/>
      <c r="R1481" s="26"/>
      <c r="S1481" s="26"/>
      <c r="T1481" s="26"/>
      <c r="U1481" s="26"/>
      <c r="V1481" s="26"/>
      <c r="W1481" s="26"/>
      <c r="X1481" s="26"/>
      <c r="Y1481" s="26"/>
      <c r="Z1481" s="26"/>
      <c r="AA1481" s="26"/>
      <c r="AB1481" s="26"/>
      <c r="AC1481" s="26"/>
      <c r="AD1481" s="26"/>
      <c r="AE1481" s="26"/>
      <c r="AF1481" s="26"/>
      <c r="AG1481" s="26"/>
      <c r="AH1481" s="26"/>
      <c r="AI1481" s="26"/>
      <c r="AJ1481" s="26"/>
      <c r="AK1481" s="26"/>
      <c r="AL1481" s="26"/>
      <c r="AM1481" s="26"/>
      <c r="AN1481" s="26"/>
      <c r="AO1481" s="26"/>
      <c r="AP1481" s="26"/>
      <c r="AQ1481" s="26"/>
      <c r="AR1481" s="26"/>
      <c r="AS1481" s="26"/>
      <c r="AT1481" s="26"/>
      <c r="AU1481" s="26"/>
      <c r="AV1481" s="26"/>
      <c r="AW1481" s="26"/>
      <c r="AX1481" s="26"/>
      <c r="AY1481" s="26"/>
    </row>
    <row r="1482" spans="1:51" ht="12.75" customHeight="1">
      <c r="A1482" s="26"/>
      <c r="B1482" s="66"/>
      <c r="C1482" s="67"/>
      <c r="D1482" s="67"/>
      <c r="E1482" s="26"/>
      <c r="F1482" s="26"/>
      <c r="G1482" s="26"/>
      <c r="H1482" s="26"/>
      <c r="I1482" s="26"/>
      <c r="J1482" s="26"/>
      <c r="K1482" s="26"/>
      <c r="L1482" s="26"/>
      <c r="M1482" s="26"/>
      <c r="N1482" s="26"/>
      <c r="O1482" s="26"/>
      <c r="P1482" s="26"/>
      <c r="Q1482" s="26"/>
      <c r="R1482" s="26"/>
      <c r="S1482" s="26"/>
      <c r="T1482" s="26"/>
      <c r="U1482" s="26"/>
      <c r="V1482" s="26"/>
      <c r="W1482" s="26"/>
      <c r="X1482" s="26"/>
      <c r="Y1482" s="26"/>
      <c r="Z1482" s="26"/>
      <c r="AA1482" s="26"/>
      <c r="AB1482" s="26"/>
      <c r="AC1482" s="26"/>
      <c r="AD1482" s="26"/>
      <c r="AE1482" s="26"/>
      <c r="AF1482" s="26"/>
      <c r="AG1482" s="26"/>
      <c r="AH1482" s="26"/>
      <c r="AI1482" s="26"/>
      <c r="AJ1482" s="26"/>
      <c r="AK1482" s="26"/>
      <c r="AL1482" s="26"/>
      <c r="AM1482" s="26"/>
      <c r="AN1482" s="26"/>
      <c r="AO1482" s="26"/>
      <c r="AP1482" s="26"/>
      <c r="AQ1482" s="26"/>
      <c r="AR1482" s="26"/>
      <c r="AS1482" s="26"/>
      <c r="AT1482" s="26"/>
      <c r="AU1482" s="26"/>
      <c r="AV1482" s="26"/>
      <c r="AW1482" s="26"/>
      <c r="AX1482" s="26"/>
      <c r="AY1482" s="26"/>
    </row>
    <row r="1483" spans="1:51" ht="12.75" customHeight="1">
      <c r="A1483" s="26"/>
      <c r="B1483" s="66"/>
      <c r="C1483" s="67"/>
      <c r="D1483" s="67"/>
      <c r="E1483" s="26"/>
      <c r="F1483" s="26"/>
      <c r="G1483" s="26"/>
      <c r="H1483" s="26"/>
      <c r="I1483" s="26"/>
      <c r="J1483" s="26"/>
      <c r="K1483" s="26"/>
      <c r="L1483" s="26"/>
      <c r="M1483" s="26"/>
      <c r="N1483" s="26"/>
      <c r="O1483" s="26"/>
      <c r="P1483" s="26"/>
      <c r="Q1483" s="26"/>
      <c r="R1483" s="26"/>
      <c r="S1483" s="26"/>
      <c r="T1483" s="26"/>
      <c r="U1483" s="26"/>
      <c r="V1483" s="26"/>
      <c r="W1483" s="26"/>
      <c r="X1483" s="26"/>
      <c r="Y1483" s="26"/>
      <c r="Z1483" s="26"/>
      <c r="AA1483" s="26"/>
      <c r="AB1483" s="26"/>
      <c r="AC1483" s="26"/>
      <c r="AD1483" s="26"/>
      <c r="AE1483" s="26"/>
      <c r="AF1483" s="26"/>
      <c r="AG1483" s="26"/>
      <c r="AH1483" s="26"/>
      <c r="AI1483" s="26"/>
      <c r="AJ1483" s="26"/>
      <c r="AK1483" s="26"/>
      <c r="AL1483" s="26"/>
      <c r="AM1483" s="26"/>
      <c r="AN1483" s="26"/>
      <c r="AO1483" s="26"/>
      <c r="AP1483" s="26"/>
      <c r="AQ1483" s="26"/>
      <c r="AR1483" s="26"/>
      <c r="AS1483" s="26"/>
      <c r="AT1483" s="26"/>
      <c r="AU1483" s="26"/>
      <c r="AV1483" s="26"/>
      <c r="AW1483" s="26"/>
      <c r="AX1483" s="26"/>
      <c r="AY1483" s="26"/>
    </row>
    <row r="1484" spans="1:51" ht="12.75" customHeight="1">
      <c r="A1484" s="26"/>
      <c r="B1484" s="66"/>
      <c r="C1484" s="67"/>
      <c r="D1484" s="67"/>
      <c r="E1484" s="26"/>
      <c r="F1484" s="26"/>
      <c r="G1484" s="26"/>
      <c r="H1484" s="26"/>
      <c r="I1484" s="26"/>
      <c r="J1484" s="26"/>
      <c r="K1484" s="26"/>
      <c r="L1484" s="26"/>
      <c r="M1484" s="26"/>
      <c r="N1484" s="26"/>
      <c r="O1484" s="26"/>
      <c r="P1484" s="26"/>
      <c r="Q1484" s="26"/>
      <c r="R1484" s="26"/>
      <c r="S1484" s="26"/>
      <c r="T1484" s="26"/>
      <c r="U1484" s="26"/>
      <c r="V1484" s="26"/>
      <c r="W1484" s="26"/>
      <c r="X1484" s="26"/>
      <c r="Y1484" s="26"/>
      <c r="Z1484" s="26"/>
      <c r="AA1484" s="26"/>
      <c r="AB1484" s="26"/>
      <c r="AC1484" s="26"/>
      <c r="AD1484" s="26"/>
      <c r="AE1484" s="26"/>
      <c r="AF1484" s="26"/>
      <c r="AG1484" s="26"/>
      <c r="AH1484" s="26"/>
      <c r="AI1484" s="26"/>
      <c r="AJ1484" s="26"/>
      <c r="AK1484" s="26"/>
      <c r="AL1484" s="26"/>
      <c r="AM1484" s="26"/>
      <c r="AN1484" s="26"/>
      <c r="AO1484" s="26"/>
      <c r="AP1484" s="26"/>
      <c r="AQ1484" s="26"/>
      <c r="AR1484" s="26"/>
      <c r="AS1484" s="26"/>
      <c r="AT1484" s="26"/>
      <c r="AU1484" s="26"/>
      <c r="AV1484" s="26"/>
      <c r="AW1484" s="26"/>
      <c r="AX1484" s="26"/>
      <c r="AY1484" s="26"/>
    </row>
    <row r="1485" spans="1:51" ht="12.75" customHeight="1">
      <c r="A1485" s="26"/>
      <c r="B1485" s="66"/>
      <c r="C1485" s="67"/>
      <c r="D1485" s="67"/>
      <c r="E1485" s="26"/>
      <c r="F1485" s="26"/>
      <c r="G1485" s="26"/>
      <c r="H1485" s="26"/>
      <c r="I1485" s="26"/>
      <c r="J1485" s="26"/>
      <c r="K1485" s="26"/>
      <c r="L1485" s="26"/>
      <c r="M1485" s="26"/>
      <c r="N1485" s="26"/>
      <c r="O1485" s="26"/>
      <c r="P1485" s="26"/>
      <c r="Q1485" s="26"/>
      <c r="R1485" s="26"/>
      <c r="S1485" s="26"/>
      <c r="T1485" s="26"/>
      <c r="U1485" s="26"/>
      <c r="V1485" s="26"/>
      <c r="W1485" s="26"/>
      <c r="X1485" s="26"/>
      <c r="Y1485" s="26"/>
      <c r="Z1485" s="26"/>
      <c r="AA1485" s="26"/>
      <c r="AB1485" s="26"/>
      <c r="AC1485" s="26"/>
      <c r="AD1485" s="26"/>
      <c r="AE1485" s="26"/>
      <c r="AF1485" s="26"/>
      <c r="AG1485" s="26"/>
      <c r="AH1485" s="26"/>
      <c r="AI1485" s="26"/>
      <c r="AJ1485" s="26"/>
      <c r="AK1485" s="26"/>
      <c r="AL1485" s="26"/>
      <c r="AM1485" s="26"/>
      <c r="AN1485" s="26"/>
      <c r="AO1485" s="26"/>
      <c r="AP1485" s="26"/>
      <c r="AQ1485" s="26"/>
      <c r="AR1485" s="26"/>
      <c r="AS1485" s="26"/>
      <c r="AT1485" s="26"/>
      <c r="AU1485" s="26"/>
      <c r="AV1485" s="26"/>
      <c r="AW1485" s="26"/>
      <c r="AX1485" s="26"/>
      <c r="AY1485" s="26"/>
    </row>
    <row r="1486" spans="1:51" ht="12.75" customHeight="1">
      <c r="A1486" s="26"/>
      <c r="B1486" s="66"/>
      <c r="C1486" s="67"/>
      <c r="D1486" s="67"/>
      <c r="E1486" s="26"/>
      <c r="F1486" s="26"/>
      <c r="G1486" s="26"/>
      <c r="H1486" s="26"/>
      <c r="I1486" s="26"/>
      <c r="J1486" s="26"/>
      <c r="K1486" s="26"/>
      <c r="L1486" s="26"/>
      <c r="M1486" s="26"/>
      <c r="N1486" s="26"/>
      <c r="O1486" s="26"/>
      <c r="P1486" s="26"/>
      <c r="Q1486" s="26"/>
      <c r="R1486" s="26"/>
      <c r="S1486" s="26"/>
      <c r="T1486" s="26"/>
      <c r="U1486" s="26"/>
      <c r="V1486" s="26"/>
      <c r="W1486" s="26"/>
      <c r="X1486" s="26"/>
      <c r="Y1486" s="26"/>
      <c r="Z1486" s="26"/>
      <c r="AA1486" s="26"/>
      <c r="AB1486" s="26"/>
      <c r="AC1486" s="26"/>
      <c r="AD1486" s="26"/>
      <c r="AE1486" s="26"/>
      <c r="AF1486" s="26"/>
      <c r="AG1486" s="26"/>
      <c r="AH1486" s="26"/>
      <c r="AI1486" s="26"/>
      <c r="AJ1486" s="26"/>
      <c r="AK1486" s="26"/>
      <c r="AL1486" s="26"/>
      <c r="AM1486" s="26"/>
      <c r="AN1486" s="26"/>
      <c r="AO1486" s="26"/>
      <c r="AP1486" s="26"/>
      <c r="AQ1486" s="26"/>
      <c r="AR1486" s="26"/>
      <c r="AS1486" s="26"/>
      <c r="AT1486" s="26"/>
      <c r="AU1486" s="26"/>
      <c r="AV1486" s="26"/>
      <c r="AW1486" s="26"/>
      <c r="AX1486" s="26"/>
      <c r="AY1486" s="26"/>
    </row>
    <row r="1487" spans="1:51" ht="12.75" customHeight="1">
      <c r="A1487" s="26"/>
      <c r="B1487" s="66"/>
      <c r="C1487" s="67"/>
      <c r="D1487" s="67"/>
      <c r="E1487" s="26"/>
      <c r="F1487" s="26"/>
      <c r="G1487" s="26"/>
      <c r="H1487" s="26"/>
      <c r="I1487" s="26"/>
      <c r="J1487" s="26"/>
      <c r="K1487" s="26"/>
      <c r="L1487" s="26"/>
      <c r="M1487" s="26"/>
      <c r="N1487" s="26"/>
      <c r="O1487" s="26"/>
      <c r="P1487" s="26"/>
      <c r="Q1487" s="26"/>
      <c r="R1487" s="26"/>
      <c r="S1487" s="26"/>
      <c r="T1487" s="26"/>
      <c r="U1487" s="26"/>
      <c r="V1487" s="26"/>
      <c r="W1487" s="26"/>
      <c r="X1487" s="26"/>
      <c r="Y1487" s="26"/>
      <c r="Z1487" s="26"/>
      <c r="AA1487" s="26"/>
      <c r="AB1487" s="26"/>
      <c r="AC1487" s="26"/>
      <c r="AD1487" s="26"/>
      <c r="AE1487" s="26"/>
      <c r="AF1487" s="26"/>
      <c r="AG1487" s="26"/>
      <c r="AH1487" s="26"/>
      <c r="AI1487" s="26"/>
      <c r="AJ1487" s="26"/>
      <c r="AK1487" s="26"/>
      <c r="AL1487" s="26"/>
      <c r="AM1487" s="26"/>
      <c r="AN1487" s="26"/>
      <c r="AO1487" s="26"/>
      <c r="AP1487" s="26"/>
      <c r="AQ1487" s="26"/>
      <c r="AR1487" s="26"/>
      <c r="AS1487" s="26"/>
      <c r="AT1487" s="26"/>
      <c r="AU1487" s="26"/>
      <c r="AV1487" s="26"/>
      <c r="AW1487" s="26"/>
      <c r="AX1487" s="26"/>
      <c r="AY1487" s="26"/>
    </row>
    <row r="1488" spans="1:51" ht="12.75" customHeight="1">
      <c r="A1488" s="26"/>
      <c r="B1488" s="66"/>
      <c r="C1488" s="67"/>
      <c r="D1488" s="67"/>
      <c r="E1488" s="26"/>
      <c r="F1488" s="26"/>
      <c r="G1488" s="26"/>
      <c r="H1488" s="26"/>
      <c r="I1488" s="26"/>
      <c r="J1488" s="26"/>
      <c r="K1488" s="26"/>
      <c r="L1488" s="26"/>
      <c r="M1488" s="26"/>
      <c r="N1488" s="26"/>
      <c r="O1488" s="26"/>
      <c r="P1488" s="26"/>
      <c r="Q1488" s="26"/>
      <c r="R1488" s="26"/>
      <c r="S1488" s="26"/>
      <c r="T1488" s="26"/>
      <c r="U1488" s="26"/>
      <c r="V1488" s="26"/>
      <c r="W1488" s="26"/>
      <c r="X1488" s="26"/>
      <c r="Y1488" s="26"/>
      <c r="Z1488" s="26"/>
      <c r="AA1488" s="26"/>
      <c r="AB1488" s="26"/>
      <c r="AC1488" s="26"/>
      <c r="AD1488" s="26"/>
      <c r="AE1488" s="26"/>
      <c r="AF1488" s="26"/>
      <c r="AG1488" s="26"/>
      <c r="AH1488" s="26"/>
      <c r="AI1488" s="26"/>
      <c r="AJ1488" s="26"/>
      <c r="AK1488" s="26"/>
      <c r="AL1488" s="26"/>
      <c r="AM1488" s="26"/>
      <c r="AN1488" s="26"/>
      <c r="AO1488" s="26"/>
      <c r="AP1488" s="26"/>
      <c r="AQ1488" s="26"/>
      <c r="AR1488" s="26"/>
      <c r="AS1488" s="26"/>
      <c r="AT1488" s="26"/>
      <c r="AU1488" s="26"/>
      <c r="AV1488" s="26"/>
      <c r="AW1488" s="26"/>
      <c r="AX1488" s="26"/>
      <c r="AY1488" s="26"/>
    </row>
    <row r="1489" spans="1:51" ht="12.75" customHeight="1">
      <c r="A1489" s="26"/>
      <c r="B1489" s="66"/>
      <c r="C1489" s="67"/>
      <c r="D1489" s="67"/>
      <c r="E1489" s="26"/>
      <c r="F1489" s="26"/>
      <c r="G1489" s="26"/>
      <c r="H1489" s="26"/>
      <c r="I1489" s="26"/>
      <c r="J1489" s="26"/>
      <c r="K1489" s="26"/>
      <c r="L1489" s="26"/>
      <c r="M1489" s="26"/>
      <c r="N1489" s="26"/>
      <c r="O1489" s="26"/>
      <c r="P1489" s="26"/>
      <c r="Q1489" s="26"/>
      <c r="R1489" s="26"/>
      <c r="S1489" s="26"/>
      <c r="T1489" s="26"/>
      <c r="U1489" s="26"/>
      <c r="V1489" s="26"/>
      <c r="W1489" s="26"/>
      <c r="X1489" s="26"/>
      <c r="Y1489" s="26"/>
      <c r="Z1489" s="26"/>
      <c r="AA1489" s="26"/>
      <c r="AB1489" s="26"/>
      <c r="AC1489" s="26"/>
      <c r="AD1489" s="26"/>
      <c r="AE1489" s="26"/>
      <c r="AF1489" s="26"/>
      <c r="AG1489" s="26"/>
      <c r="AH1489" s="26"/>
      <c r="AI1489" s="26"/>
      <c r="AJ1489" s="26"/>
      <c r="AK1489" s="26"/>
      <c r="AL1489" s="26"/>
      <c r="AM1489" s="26"/>
      <c r="AN1489" s="26"/>
      <c r="AO1489" s="26"/>
      <c r="AP1489" s="26"/>
      <c r="AQ1489" s="26"/>
      <c r="AR1489" s="26"/>
      <c r="AS1489" s="26"/>
      <c r="AT1489" s="26"/>
      <c r="AU1489" s="26"/>
      <c r="AV1489" s="26"/>
      <c r="AW1489" s="26"/>
      <c r="AX1489" s="26"/>
      <c r="AY1489" s="26"/>
    </row>
    <row r="1490" spans="1:51" ht="12.75" customHeight="1">
      <c r="A1490" s="26"/>
      <c r="B1490" s="66"/>
      <c r="C1490" s="67"/>
      <c r="D1490" s="67"/>
      <c r="E1490" s="26"/>
      <c r="F1490" s="26"/>
      <c r="G1490" s="26"/>
      <c r="H1490" s="26"/>
      <c r="I1490" s="26"/>
      <c r="J1490" s="26"/>
      <c r="K1490" s="26"/>
      <c r="L1490" s="26"/>
      <c r="M1490" s="26"/>
      <c r="N1490" s="26"/>
      <c r="O1490" s="26"/>
      <c r="P1490" s="26"/>
      <c r="Q1490" s="26"/>
      <c r="R1490" s="26"/>
      <c r="S1490" s="26"/>
      <c r="T1490" s="26"/>
      <c r="U1490" s="26"/>
      <c r="V1490" s="26"/>
      <c r="W1490" s="26"/>
      <c r="X1490" s="26"/>
      <c r="Y1490" s="26"/>
      <c r="Z1490" s="26"/>
      <c r="AA1490" s="26"/>
      <c r="AB1490" s="26"/>
      <c r="AC1490" s="26"/>
      <c r="AD1490" s="26"/>
      <c r="AE1490" s="26"/>
      <c r="AF1490" s="26"/>
      <c r="AG1490" s="26"/>
      <c r="AH1490" s="26"/>
      <c r="AI1490" s="26"/>
      <c r="AJ1490" s="26"/>
      <c r="AK1490" s="26"/>
      <c r="AL1490" s="26"/>
      <c r="AM1490" s="26"/>
      <c r="AN1490" s="26"/>
      <c r="AO1490" s="26"/>
      <c r="AP1490" s="26"/>
      <c r="AQ1490" s="26"/>
      <c r="AR1490" s="26"/>
      <c r="AS1490" s="26"/>
      <c r="AT1490" s="26"/>
      <c r="AU1490" s="26"/>
      <c r="AV1490" s="26"/>
      <c r="AW1490" s="26"/>
      <c r="AX1490" s="26"/>
      <c r="AY1490" s="26"/>
    </row>
    <row r="1491" spans="1:51" ht="12.75" customHeight="1">
      <c r="A1491" s="26"/>
      <c r="B1491" s="66"/>
      <c r="C1491" s="67"/>
      <c r="D1491" s="67"/>
      <c r="E1491" s="26"/>
      <c r="F1491" s="26"/>
      <c r="G1491" s="26"/>
      <c r="H1491" s="26"/>
      <c r="I1491" s="26"/>
      <c r="J1491" s="26"/>
      <c r="K1491" s="26"/>
      <c r="L1491" s="26"/>
      <c r="M1491" s="26"/>
      <c r="N1491" s="26"/>
      <c r="O1491" s="26"/>
      <c r="P1491" s="26"/>
      <c r="Q1491" s="26"/>
      <c r="R1491" s="26"/>
      <c r="S1491" s="26"/>
      <c r="T1491" s="26"/>
      <c r="U1491" s="26"/>
      <c r="V1491" s="26"/>
      <c r="W1491" s="26"/>
      <c r="X1491" s="26"/>
      <c r="Y1491" s="26"/>
      <c r="Z1491" s="26"/>
      <c r="AA1491" s="26"/>
      <c r="AB1491" s="26"/>
      <c r="AC1491" s="26"/>
      <c r="AD1491" s="26"/>
      <c r="AE1491" s="26"/>
      <c r="AF1491" s="26"/>
      <c r="AG1491" s="26"/>
      <c r="AH1491" s="26"/>
      <c r="AI1491" s="26"/>
      <c r="AJ1491" s="26"/>
      <c r="AK1491" s="26"/>
      <c r="AL1491" s="26"/>
      <c r="AM1491" s="26"/>
      <c r="AN1491" s="26"/>
      <c r="AO1491" s="26"/>
      <c r="AP1491" s="26"/>
      <c r="AQ1491" s="26"/>
      <c r="AR1491" s="26"/>
      <c r="AS1491" s="26"/>
      <c r="AT1491" s="26"/>
      <c r="AU1491" s="26"/>
      <c r="AV1491" s="26"/>
      <c r="AW1491" s="26"/>
      <c r="AX1491" s="26"/>
      <c r="AY1491" s="26"/>
    </row>
    <row r="1492" spans="1:51" ht="12.75" customHeight="1">
      <c r="A1492" s="26"/>
      <c r="B1492" s="66"/>
      <c r="C1492" s="67"/>
      <c r="D1492" s="67"/>
      <c r="E1492" s="26"/>
      <c r="F1492" s="26"/>
      <c r="G1492" s="26"/>
      <c r="H1492" s="26"/>
      <c r="I1492" s="26"/>
      <c r="J1492" s="26"/>
      <c r="K1492" s="26"/>
      <c r="L1492" s="26"/>
      <c r="M1492" s="26"/>
      <c r="N1492" s="26"/>
      <c r="O1492" s="26"/>
      <c r="P1492" s="26"/>
      <c r="Q1492" s="26"/>
      <c r="R1492" s="26"/>
      <c r="S1492" s="26"/>
      <c r="T1492" s="26"/>
      <c r="U1492" s="26"/>
      <c r="V1492" s="26"/>
      <c r="W1492" s="26"/>
      <c r="X1492" s="26"/>
      <c r="Y1492" s="26"/>
      <c r="Z1492" s="26"/>
      <c r="AA1492" s="26"/>
      <c r="AB1492" s="26"/>
      <c r="AC1492" s="26"/>
      <c r="AD1492" s="26"/>
      <c r="AE1492" s="26"/>
      <c r="AF1492" s="26"/>
      <c r="AG1492" s="26"/>
      <c r="AH1492" s="26"/>
      <c r="AI1492" s="26"/>
      <c r="AJ1492" s="26"/>
      <c r="AK1492" s="26"/>
      <c r="AL1492" s="26"/>
      <c r="AM1492" s="26"/>
      <c r="AN1492" s="26"/>
      <c r="AO1492" s="26"/>
      <c r="AP1492" s="26"/>
      <c r="AQ1492" s="26"/>
      <c r="AR1492" s="26"/>
      <c r="AS1492" s="26"/>
      <c r="AT1492" s="26"/>
      <c r="AU1492" s="26"/>
      <c r="AV1492" s="26"/>
      <c r="AW1492" s="26"/>
      <c r="AX1492" s="26"/>
      <c r="AY1492" s="26"/>
    </row>
    <row r="1493" spans="1:51" ht="12.75" customHeight="1">
      <c r="A1493" s="26"/>
      <c r="B1493" s="66"/>
      <c r="C1493" s="67"/>
      <c r="D1493" s="67"/>
      <c r="E1493" s="26"/>
      <c r="F1493" s="26"/>
      <c r="G1493" s="26"/>
      <c r="H1493" s="26"/>
      <c r="I1493" s="26"/>
      <c r="J1493" s="26"/>
      <c r="K1493" s="26"/>
      <c r="L1493" s="26"/>
      <c r="M1493" s="26"/>
      <c r="N1493" s="26"/>
      <c r="O1493" s="26"/>
      <c r="P1493" s="26"/>
      <c r="Q1493" s="26"/>
      <c r="R1493" s="26"/>
      <c r="S1493" s="26"/>
      <c r="T1493" s="26"/>
      <c r="U1493" s="26"/>
      <c r="V1493" s="26"/>
      <c r="W1493" s="26"/>
      <c r="X1493" s="26"/>
      <c r="Y1493" s="26"/>
      <c r="Z1493" s="26"/>
      <c r="AA1493" s="26"/>
      <c r="AB1493" s="26"/>
      <c r="AC1493" s="26"/>
      <c r="AD1493" s="26"/>
      <c r="AE1493" s="26"/>
      <c r="AF1493" s="26"/>
      <c r="AG1493" s="26"/>
      <c r="AH1493" s="26"/>
      <c r="AI1493" s="26"/>
      <c r="AJ1493" s="26"/>
      <c r="AK1493" s="26"/>
      <c r="AL1493" s="26"/>
      <c r="AM1493" s="26"/>
      <c r="AN1493" s="26"/>
      <c r="AO1493" s="26"/>
      <c r="AP1493" s="26"/>
      <c r="AQ1493" s="26"/>
      <c r="AR1493" s="26"/>
      <c r="AS1493" s="26"/>
      <c r="AT1493" s="26"/>
      <c r="AU1493" s="26"/>
      <c r="AV1493" s="26"/>
      <c r="AW1493" s="26"/>
      <c r="AX1493" s="26"/>
      <c r="AY1493" s="26"/>
    </row>
    <row r="1494" spans="1:51" ht="12.75" customHeight="1">
      <c r="A1494" s="26"/>
      <c r="B1494" s="66"/>
      <c r="C1494" s="67"/>
      <c r="D1494" s="67"/>
      <c r="E1494" s="26"/>
      <c r="F1494" s="26"/>
      <c r="G1494" s="26"/>
      <c r="H1494" s="26"/>
      <c r="I1494" s="26"/>
      <c r="J1494" s="26"/>
      <c r="K1494" s="26"/>
      <c r="L1494" s="26"/>
      <c r="M1494" s="26"/>
      <c r="N1494" s="26"/>
      <c r="O1494" s="26"/>
      <c r="P1494" s="26"/>
      <c r="Q1494" s="26"/>
      <c r="R1494" s="26"/>
      <c r="S1494" s="26"/>
      <c r="T1494" s="26"/>
      <c r="U1494" s="26"/>
      <c r="V1494" s="26"/>
      <c r="W1494" s="26"/>
      <c r="X1494" s="26"/>
      <c r="Y1494" s="26"/>
      <c r="Z1494" s="26"/>
      <c r="AA1494" s="26"/>
      <c r="AB1494" s="26"/>
      <c r="AC1494" s="26"/>
      <c r="AD1494" s="26"/>
      <c r="AE1494" s="26"/>
      <c r="AF1494" s="26"/>
      <c r="AG1494" s="26"/>
      <c r="AH1494" s="26"/>
      <c r="AI1494" s="26"/>
      <c r="AJ1494" s="26"/>
      <c r="AK1494" s="26"/>
      <c r="AL1494" s="26"/>
      <c r="AM1494" s="26"/>
      <c r="AN1494" s="26"/>
      <c r="AO1494" s="26"/>
      <c r="AP1494" s="26"/>
      <c r="AQ1494" s="26"/>
      <c r="AR1494" s="26"/>
      <c r="AS1494" s="26"/>
      <c r="AT1494" s="26"/>
      <c r="AU1494" s="26"/>
      <c r="AV1494" s="26"/>
      <c r="AW1494" s="26"/>
      <c r="AX1494" s="26"/>
      <c r="AY1494" s="26"/>
    </row>
    <row r="1495" spans="1:51" ht="12.75" customHeight="1">
      <c r="A1495" s="26"/>
      <c r="B1495" s="66"/>
      <c r="C1495" s="67"/>
      <c r="D1495" s="67"/>
      <c r="E1495" s="26"/>
      <c r="F1495" s="26"/>
      <c r="G1495" s="26"/>
      <c r="H1495" s="26"/>
      <c r="I1495" s="26"/>
      <c r="J1495" s="26"/>
      <c r="K1495" s="26"/>
      <c r="L1495" s="26"/>
      <c r="M1495" s="26"/>
      <c r="N1495" s="26"/>
      <c r="O1495" s="26"/>
      <c r="P1495" s="26"/>
      <c r="Q1495" s="26"/>
      <c r="R1495" s="26"/>
      <c r="S1495" s="26"/>
      <c r="T1495" s="26"/>
      <c r="U1495" s="26"/>
      <c r="V1495" s="26"/>
      <c r="W1495" s="26"/>
      <c r="X1495" s="26"/>
      <c r="Y1495" s="26"/>
      <c r="Z1495" s="26"/>
      <c r="AA1495" s="26"/>
      <c r="AB1495" s="26"/>
      <c r="AC1495" s="26"/>
      <c r="AD1495" s="26"/>
      <c r="AE1495" s="26"/>
      <c r="AF1495" s="26"/>
      <c r="AG1495" s="26"/>
      <c r="AH1495" s="26"/>
      <c r="AI1495" s="26"/>
      <c r="AJ1495" s="26"/>
      <c r="AK1495" s="26"/>
      <c r="AL1495" s="26"/>
      <c r="AM1495" s="26"/>
      <c r="AN1495" s="26"/>
      <c r="AO1495" s="26"/>
      <c r="AP1495" s="26"/>
      <c r="AQ1495" s="26"/>
      <c r="AR1495" s="26"/>
      <c r="AS1495" s="26"/>
      <c r="AT1495" s="26"/>
      <c r="AU1495" s="26"/>
      <c r="AV1495" s="26"/>
      <c r="AW1495" s="26"/>
      <c r="AX1495" s="26"/>
      <c r="AY1495" s="26"/>
    </row>
    <row r="1496" spans="1:51" ht="12.75" customHeight="1">
      <c r="A1496" s="26"/>
      <c r="B1496" s="66"/>
      <c r="C1496" s="67"/>
      <c r="D1496" s="67"/>
      <c r="E1496" s="26"/>
      <c r="F1496" s="26"/>
      <c r="G1496" s="26"/>
      <c r="H1496" s="26"/>
      <c r="I1496" s="26"/>
      <c r="J1496" s="26"/>
      <c r="K1496" s="26"/>
      <c r="L1496" s="26"/>
      <c r="M1496" s="26"/>
      <c r="N1496" s="26"/>
      <c r="O1496" s="26"/>
      <c r="P1496" s="26"/>
      <c r="Q1496" s="26"/>
      <c r="R1496" s="26"/>
      <c r="S1496" s="26"/>
      <c r="T1496" s="26"/>
      <c r="U1496" s="26"/>
      <c r="V1496" s="26"/>
      <c r="W1496" s="26"/>
      <c r="X1496" s="26"/>
      <c r="Y1496" s="26"/>
      <c r="Z1496" s="26"/>
      <c r="AA1496" s="26"/>
      <c r="AB1496" s="26"/>
      <c r="AC1496" s="26"/>
      <c r="AD1496" s="26"/>
      <c r="AE1496" s="26"/>
      <c r="AF1496" s="26"/>
      <c r="AG1496" s="26"/>
      <c r="AH1496" s="26"/>
      <c r="AI1496" s="26"/>
      <c r="AJ1496" s="26"/>
      <c r="AK1496" s="26"/>
      <c r="AL1496" s="26"/>
      <c r="AM1496" s="26"/>
      <c r="AN1496" s="26"/>
      <c r="AO1496" s="26"/>
      <c r="AP1496" s="26"/>
      <c r="AQ1496" s="26"/>
      <c r="AR1496" s="26"/>
      <c r="AS1496" s="26"/>
      <c r="AT1496" s="26"/>
      <c r="AU1496" s="26"/>
      <c r="AV1496" s="26"/>
      <c r="AW1496" s="26"/>
      <c r="AX1496" s="26"/>
      <c r="AY1496" s="26"/>
    </row>
    <row r="1497" spans="1:51" ht="12.75" customHeight="1">
      <c r="A1497" s="26"/>
      <c r="B1497" s="66"/>
      <c r="C1497" s="67"/>
      <c r="D1497" s="67"/>
      <c r="E1497" s="26"/>
      <c r="F1497" s="26"/>
      <c r="G1497" s="26"/>
      <c r="H1497" s="26"/>
      <c r="I1497" s="26"/>
      <c r="J1497" s="26"/>
      <c r="K1497" s="26"/>
      <c r="L1497" s="26"/>
      <c r="M1497" s="26"/>
      <c r="N1497" s="26"/>
      <c r="O1497" s="26"/>
      <c r="P1497" s="26"/>
      <c r="Q1497" s="26"/>
      <c r="R1497" s="26"/>
      <c r="S1497" s="26"/>
      <c r="T1497" s="26"/>
      <c r="U1497" s="26"/>
      <c r="V1497" s="26"/>
      <c r="W1497" s="26"/>
      <c r="X1497" s="26"/>
      <c r="Y1497" s="26"/>
      <c r="Z1497" s="26"/>
      <c r="AA1497" s="26"/>
      <c r="AB1497" s="26"/>
      <c r="AC1497" s="26"/>
      <c r="AD1497" s="26"/>
      <c r="AE1497" s="26"/>
      <c r="AF1497" s="26"/>
      <c r="AG1497" s="26"/>
      <c r="AH1497" s="26"/>
      <c r="AI1497" s="26"/>
      <c r="AJ1497" s="26"/>
      <c r="AK1497" s="26"/>
      <c r="AL1497" s="26"/>
      <c r="AM1497" s="26"/>
      <c r="AN1497" s="26"/>
      <c r="AO1497" s="26"/>
      <c r="AP1497" s="26"/>
      <c r="AQ1497" s="26"/>
      <c r="AR1497" s="26"/>
      <c r="AS1497" s="26"/>
      <c r="AT1497" s="26"/>
      <c r="AU1497" s="26"/>
      <c r="AV1497" s="26"/>
      <c r="AW1497" s="26"/>
      <c r="AX1497" s="26"/>
      <c r="AY1497" s="26"/>
    </row>
    <row r="1498" spans="1:51" ht="12.75" customHeight="1">
      <c r="A1498" s="26"/>
      <c r="B1498" s="66"/>
      <c r="C1498" s="67"/>
      <c r="D1498" s="67"/>
      <c r="E1498" s="26"/>
      <c r="F1498" s="26"/>
      <c r="G1498" s="26"/>
      <c r="H1498" s="26"/>
      <c r="I1498" s="26"/>
      <c r="J1498" s="26"/>
      <c r="K1498" s="26"/>
      <c r="L1498" s="26"/>
      <c r="M1498" s="26"/>
      <c r="N1498" s="26"/>
      <c r="O1498" s="26"/>
      <c r="P1498" s="26"/>
      <c r="Q1498" s="26"/>
      <c r="R1498" s="26"/>
      <c r="S1498" s="26"/>
      <c r="T1498" s="26"/>
      <c r="U1498" s="26"/>
      <c r="V1498" s="26"/>
      <c r="W1498" s="26"/>
      <c r="X1498" s="26"/>
      <c r="Y1498" s="26"/>
      <c r="Z1498" s="26"/>
      <c r="AA1498" s="26"/>
      <c r="AB1498" s="26"/>
      <c r="AC1498" s="26"/>
      <c r="AD1498" s="26"/>
      <c r="AE1498" s="26"/>
      <c r="AF1498" s="26"/>
      <c r="AG1498" s="26"/>
      <c r="AH1498" s="26"/>
      <c r="AI1498" s="26"/>
      <c r="AJ1498" s="26"/>
      <c r="AK1498" s="26"/>
      <c r="AL1498" s="26"/>
      <c r="AM1498" s="26"/>
      <c r="AN1498" s="26"/>
      <c r="AO1498" s="26"/>
      <c r="AP1498" s="26"/>
      <c r="AQ1498" s="26"/>
      <c r="AR1498" s="26"/>
      <c r="AS1498" s="26"/>
      <c r="AT1498" s="26"/>
      <c r="AU1498" s="26"/>
      <c r="AV1498" s="26"/>
      <c r="AW1498" s="26"/>
      <c r="AX1498" s="26"/>
      <c r="AY1498" s="26"/>
    </row>
    <row r="1499" spans="1:51" ht="12.75" customHeight="1">
      <c r="A1499" s="26"/>
      <c r="B1499" s="66"/>
      <c r="C1499" s="67"/>
      <c r="D1499" s="67"/>
      <c r="E1499" s="26"/>
      <c r="F1499" s="26"/>
      <c r="G1499" s="26"/>
      <c r="H1499" s="26"/>
      <c r="I1499" s="26"/>
      <c r="J1499" s="26"/>
      <c r="K1499" s="26"/>
      <c r="L1499" s="26"/>
      <c r="M1499" s="26"/>
      <c r="N1499" s="26"/>
      <c r="O1499" s="26"/>
      <c r="P1499" s="26"/>
      <c r="Q1499" s="26"/>
      <c r="R1499" s="26"/>
      <c r="S1499" s="26"/>
      <c r="T1499" s="26"/>
      <c r="U1499" s="26"/>
      <c r="V1499" s="26"/>
      <c r="W1499" s="26"/>
      <c r="X1499" s="26"/>
      <c r="Y1499" s="26"/>
      <c r="Z1499" s="26"/>
      <c r="AA1499" s="26"/>
      <c r="AB1499" s="26"/>
      <c r="AC1499" s="26"/>
      <c r="AD1499" s="26"/>
      <c r="AE1499" s="26"/>
      <c r="AF1499" s="26"/>
      <c r="AG1499" s="26"/>
      <c r="AH1499" s="26"/>
      <c r="AI1499" s="26"/>
      <c r="AJ1499" s="26"/>
      <c r="AK1499" s="26"/>
      <c r="AL1499" s="26"/>
      <c r="AM1499" s="26"/>
      <c r="AN1499" s="26"/>
      <c r="AO1499" s="26"/>
      <c r="AP1499" s="26"/>
      <c r="AQ1499" s="26"/>
      <c r="AR1499" s="26"/>
      <c r="AS1499" s="26"/>
      <c r="AT1499" s="26"/>
      <c r="AU1499" s="26"/>
      <c r="AV1499" s="26"/>
      <c r="AW1499" s="26"/>
      <c r="AX1499" s="26"/>
      <c r="AY1499" s="26"/>
    </row>
    <row r="1500" spans="1:51" ht="12.75" customHeight="1">
      <c r="A1500" s="26"/>
      <c r="B1500" s="66"/>
      <c r="C1500" s="67"/>
      <c r="D1500" s="67"/>
      <c r="E1500" s="26"/>
      <c r="F1500" s="26"/>
      <c r="G1500" s="26"/>
      <c r="H1500" s="26"/>
      <c r="I1500" s="26"/>
      <c r="J1500" s="26"/>
      <c r="K1500" s="26"/>
      <c r="L1500" s="26"/>
      <c r="M1500" s="26"/>
      <c r="N1500" s="26"/>
      <c r="O1500" s="26"/>
      <c r="P1500" s="26"/>
      <c r="Q1500" s="26"/>
      <c r="R1500" s="26"/>
      <c r="S1500" s="26"/>
      <c r="T1500" s="26"/>
      <c r="U1500" s="26"/>
      <c r="V1500" s="26"/>
      <c r="W1500" s="26"/>
      <c r="X1500" s="26"/>
      <c r="Y1500" s="26"/>
      <c r="Z1500" s="26"/>
      <c r="AA1500" s="26"/>
      <c r="AB1500" s="26"/>
      <c r="AC1500" s="26"/>
      <c r="AD1500" s="26"/>
      <c r="AE1500" s="26"/>
      <c r="AF1500" s="26"/>
      <c r="AG1500" s="26"/>
      <c r="AH1500" s="26"/>
      <c r="AI1500" s="26"/>
      <c r="AJ1500" s="26"/>
      <c r="AK1500" s="26"/>
      <c r="AL1500" s="26"/>
      <c r="AM1500" s="26"/>
      <c r="AN1500" s="26"/>
      <c r="AO1500" s="26"/>
      <c r="AP1500" s="26"/>
      <c r="AQ1500" s="26"/>
      <c r="AR1500" s="26"/>
      <c r="AS1500" s="26"/>
      <c r="AT1500" s="26"/>
      <c r="AU1500" s="26"/>
      <c r="AV1500" s="26"/>
      <c r="AW1500" s="26"/>
      <c r="AX1500" s="26"/>
      <c r="AY1500" s="26"/>
    </row>
    <row r="1501" spans="1:51" ht="12.75" customHeight="1">
      <c r="A1501" s="26"/>
      <c r="B1501" s="66"/>
      <c r="C1501" s="67"/>
      <c r="D1501" s="67"/>
      <c r="E1501" s="26"/>
      <c r="F1501" s="26"/>
      <c r="G1501" s="26"/>
      <c r="H1501" s="26"/>
      <c r="I1501" s="26"/>
      <c r="J1501" s="26"/>
      <c r="K1501" s="26"/>
      <c r="L1501" s="26"/>
      <c r="M1501" s="26"/>
      <c r="N1501" s="26"/>
      <c r="O1501" s="26"/>
      <c r="P1501" s="26"/>
      <c r="Q1501" s="26"/>
      <c r="R1501" s="26"/>
      <c r="S1501" s="26"/>
      <c r="T1501" s="26"/>
      <c r="U1501" s="26"/>
      <c r="V1501" s="26"/>
      <c r="W1501" s="26"/>
      <c r="X1501" s="26"/>
      <c r="Y1501" s="26"/>
      <c r="Z1501" s="26"/>
      <c r="AA1501" s="26"/>
      <c r="AB1501" s="26"/>
      <c r="AC1501" s="26"/>
      <c r="AD1501" s="26"/>
      <c r="AE1501" s="26"/>
      <c r="AF1501" s="26"/>
      <c r="AG1501" s="26"/>
      <c r="AH1501" s="26"/>
      <c r="AI1501" s="26"/>
      <c r="AJ1501" s="26"/>
      <c r="AK1501" s="26"/>
      <c r="AL1501" s="26"/>
      <c r="AM1501" s="26"/>
      <c r="AN1501" s="26"/>
      <c r="AO1501" s="26"/>
      <c r="AP1501" s="26"/>
      <c r="AQ1501" s="26"/>
      <c r="AR1501" s="26"/>
      <c r="AS1501" s="26"/>
      <c r="AT1501" s="26"/>
      <c r="AU1501" s="26"/>
      <c r="AV1501" s="26"/>
      <c r="AW1501" s="26"/>
      <c r="AX1501" s="26"/>
      <c r="AY1501" s="26"/>
    </row>
    <row r="1502" spans="1:51" ht="12.75" customHeight="1">
      <c r="A1502" s="26"/>
      <c r="B1502" s="66"/>
      <c r="C1502" s="67"/>
      <c r="D1502" s="67"/>
      <c r="E1502" s="26"/>
      <c r="F1502" s="26"/>
      <c r="G1502" s="26"/>
      <c r="H1502" s="26"/>
      <c r="I1502" s="26"/>
      <c r="J1502" s="26"/>
      <c r="K1502" s="26"/>
      <c r="L1502" s="26"/>
      <c r="M1502" s="26"/>
      <c r="N1502" s="26"/>
      <c r="O1502" s="26"/>
      <c r="P1502" s="26"/>
      <c r="Q1502" s="26"/>
      <c r="R1502" s="26"/>
      <c r="S1502" s="26"/>
      <c r="T1502" s="26"/>
      <c r="U1502" s="26"/>
      <c r="V1502" s="26"/>
      <c r="W1502" s="26"/>
      <c r="X1502" s="26"/>
      <c r="Y1502" s="26"/>
      <c r="Z1502" s="26"/>
      <c r="AA1502" s="26"/>
      <c r="AB1502" s="26"/>
      <c r="AC1502" s="26"/>
      <c r="AD1502" s="26"/>
      <c r="AE1502" s="26"/>
      <c r="AF1502" s="26"/>
      <c r="AG1502" s="26"/>
      <c r="AH1502" s="26"/>
      <c r="AI1502" s="26"/>
      <c r="AJ1502" s="26"/>
      <c r="AK1502" s="26"/>
      <c r="AL1502" s="26"/>
      <c r="AM1502" s="26"/>
      <c r="AN1502" s="26"/>
      <c r="AO1502" s="26"/>
      <c r="AP1502" s="26"/>
      <c r="AQ1502" s="26"/>
      <c r="AR1502" s="26"/>
      <c r="AS1502" s="26"/>
      <c r="AT1502" s="26"/>
      <c r="AU1502" s="26"/>
      <c r="AV1502" s="26"/>
      <c r="AW1502" s="26"/>
      <c r="AX1502" s="26"/>
      <c r="AY1502" s="26"/>
    </row>
    <row r="1503" spans="1:51" ht="12.75" customHeight="1">
      <c r="A1503" s="26"/>
      <c r="B1503" s="66"/>
      <c r="C1503" s="67"/>
      <c r="D1503" s="67"/>
      <c r="E1503" s="26"/>
      <c r="F1503" s="26"/>
      <c r="G1503" s="26"/>
      <c r="H1503" s="26"/>
      <c r="I1503" s="26"/>
      <c r="J1503" s="26"/>
      <c r="K1503" s="26"/>
      <c r="L1503" s="26"/>
      <c r="M1503" s="26"/>
      <c r="N1503" s="26"/>
      <c r="O1503" s="26"/>
      <c r="P1503" s="26"/>
      <c r="Q1503" s="26"/>
      <c r="R1503" s="26"/>
      <c r="S1503" s="26"/>
      <c r="T1503" s="26"/>
      <c r="U1503" s="26"/>
      <c r="V1503" s="26"/>
      <c r="W1503" s="26"/>
      <c r="X1503" s="26"/>
      <c r="Y1503" s="26"/>
      <c r="Z1503" s="26"/>
      <c r="AA1503" s="26"/>
      <c r="AB1503" s="26"/>
      <c r="AC1503" s="26"/>
      <c r="AD1503" s="26"/>
      <c r="AE1503" s="26"/>
      <c r="AF1503" s="26"/>
      <c r="AG1503" s="26"/>
      <c r="AH1503" s="26"/>
      <c r="AI1503" s="26"/>
      <c r="AJ1503" s="26"/>
      <c r="AK1503" s="26"/>
      <c r="AL1503" s="26"/>
      <c r="AM1503" s="26"/>
      <c r="AN1503" s="26"/>
      <c r="AO1503" s="26"/>
      <c r="AP1503" s="26"/>
      <c r="AQ1503" s="26"/>
      <c r="AR1503" s="26"/>
      <c r="AS1503" s="26"/>
      <c r="AT1503" s="26"/>
      <c r="AU1503" s="26"/>
      <c r="AV1503" s="26"/>
      <c r="AW1503" s="26"/>
      <c r="AX1503" s="26"/>
      <c r="AY1503" s="26"/>
    </row>
    <row r="1504" spans="1:51" ht="12.75" customHeight="1">
      <c r="A1504" s="26"/>
      <c r="B1504" s="66"/>
      <c r="C1504" s="67"/>
      <c r="D1504" s="67"/>
      <c r="E1504" s="26"/>
      <c r="F1504" s="26"/>
      <c r="G1504" s="26"/>
      <c r="H1504" s="26"/>
      <c r="I1504" s="26"/>
      <c r="J1504" s="26"/>
      <c r="K1504" s="26"/>
      <c r="L1504" s="26"/>
      <c r="M1504" s="26"/>
      <c r="N1504" s="26"/>
      <c r="O1504" s="26"/>
      <c r="P1504" s="26"/>
      <c r="Q1504" s="26"/>
      <c r="R1504" s="26"/>
      <c r="S1504" s="26"/>
      <c r="T1504" s="26"/>
      <c r="U1504" s="26"/>
      <c r="V1504" s="26"/>
      <c r="W1504" s="26"/>
      <c r="X1504" s="26"/>
      <c r="Y1504" s="26"/>
      <c r="Z1504" s="26"/>
      <c r="AA1504" s="26"/>
      <c r="AB1504" s="26"/>
      <c r="AC1504" s="26"/>
      <c r="AD1504" s="26"/>
      <c r="AE1504" s="26"/>
      <c r="AF1504" s="26"/>
      <c r="AG1504" s="26"/>
      <c r="AH1504" s="26"/>
      <c r="AI1504" s="26"/>
      <c r="AJ1504" s="26"/>
      <c r="AK1504" s="26"/>
      <c r="AL1504" s="26"/>
      <c r="AM1504" s="26"/>
      <c r="AN1504" s="26"/>
      <c r="AO1504" s="26"/>
      <c r="AP1504" s="26"/>
      <c r="AQ1504" s="26"/>
      <c r="AR1504" s="26"/>
      <c r="AS1504" s="26"/>
      <c r="AT1504" s="26"/>
      <c r="AU1504" s="26"/>
      <c r="AV1504" s="26"/>
      <c r="AW1504" s="26"/>
      <c r="AX1504" s="26"/>
      <c r="AY1504" s="26"/>
    </row>
    <row r="1505" spans="1:51" ht="12.75" customHeight="1">
      <c r="A1505" s="26"/>
      <c r="B1505" s="66"/>
      <c r="C1505" s="67"/>
      <c r="D1505" s="67"/>
      <c r="E1505" s="26"/>
      <c r="F1505" s="26"/>
      <c r="G1505" s="26"/>
      <c r="H1505" s="26"/>
      <c r="I1505" s="26"/>
      <c r="J1505" s="26"/>
      <c r="K1505" s="26"/>
      <c r="L1505" s="26"/>
      <c r="M1505" s="26"/>
      <c r="N1505" s="26"/>
      <c r="O1505" s="26"/>
      <c r="P1505" s="26"/>
      <c r="Q1505" s="26"/>
      <c r="R1505" s="26"/>
      <c r="S1505" s="26"/>
      <c r="T1505" s="26"/>
      <c r="U1505" s="26"/>
      <c r="V1505" s="26"/>
      <c r="W1505" s="26"/>
      <c r="X1505" s="26"/>
      <c r="Y1505" s="26"/>
      <c r="Z1505" s="26"/>
      <c r="AA1505" s="26"/>
      <c r="AB1505" s="26"/>
      <c r="AC1505" s="26"/>
      <c r="AD1505" s="26"/>
      <c r="AE1505" s="26"/>
      <c r="AF1505" s="26"/>
      <c r="AG1505" s="26"/>
      <c r="AH1505" s="26"/>
      <c r="AI1505" s="26"/>
      <c r="AJ1505" s="26"/>
      <c r="AK1505" s="26"/>
      <c r="AL1505" s="26"/>
      <c r="AM1505" s="26"/>
      <c r="AN1505" s="26"/>
      <c r="AO1505" s="26"/>
      <c r="AP1505" s="26"/>
      <c r="AQ1505" s="26"/>
      <c r="AR1505" s="26"/>
      <c r="AS1505" s="26"/>
      <c r="AT1505" s="26"/>
      <c r="AU1505" s="26"/>
      <c r="AV1505" s="26"/>
      <c r="AW1505" s="26"/>
      <c r="AX1505" s="26"/>
      <c r="AY1505" s="26"/>
    </row>
    <row r="1506" spans="1:51" ht="12.75" customHeight="1">
      <c r="A1506" s="26"/>
      <c r="B1506" s="66"/>
      <c r="C1506" s="67"/>
      <c r="D1506" s="67"/>
      <c r="E1506" s="26"/>
      <c r="F1506" s="26"/>
      <c r="G1506" s="26"/>
      <c r="H1506" s="26"/>
      <c r="I1506" s="26"/>
      <c r="J1506" s="26"/>
      <c r="K1506" s="26"/>
      <c r="L1506" s="26"/>
      <c r="M1506" s="26"/>
      <c r="N1506" s="26"/>
      <c r="O1506" s="26"/>
      <c r="P1506" s="26"/>
      <c r="Q1506" s="26"/>
      <c r="R1506" s="26"/>
      <c r="S1506" s="26"/>
      <c r="T1506" s="26"/>
      <c r="U1506" s="26"/>
      <c r="V1506" s="26"/>
      <c r="W1506" s="26"/>
      <c r="X1506" s="26"/>
      <c r="Y1506" s="26"/>
      <c r="Z1506" s="26"/>
      <c r="AA1506" s="26"/>
      <c r="AB1506" s="26"/>
      <c r="AC1506" s="26"/>
      <c r="AD1506" s="26"/>
      <c r="AE1506" s="26"/>
      <c r="AF1506" s="26"/>
      <c r="AG1506" s="26"/>
      <c r="AH1506" s="26"/>
      <c r="AI1506" s="26"/>
      <c r="AJ1506" s="26"/>
      <c r="AK1506" s="26"/>
      <c r="AL1506" s="26"/>
      <c r="AM1506" s="26"/>
      <c r="AN1506" s="26"/>
      <c r="AO1506" s="26"/>
      <c r="AP1506" s="26"/>
      <c r="AQ1506" s="26"/>
      <c r="AR1506" s="26"/>
      <c r="AS1506" s="26"/>
      <c r="AT1506" s="26"/>
      <c r="AU1506" s="26"/>
      <c r="AV1506" s="26"/>
      <c r="AW1506" s="26"/>
      <c r="AX1506" s="26"/>
      <c r="AY1506" s="26"/>
    </row>
    <row r="1507" spans="1:51" ht="12.75" customHeight="1">
      <c r="A1507" s="26"/>
      <c r="B1507" s="66"/>
      <c r="C1507" s="67"/>
      <c r="D1507" s="67"/>
      <c r="E1507" s="26"/>
      <c r="F1507" s="26"/>
      <c r="G1507" s="26"/>
      <c r="H1507" s="26"/>
      <c r="I1507" s="26"/>
      <c r="J1507" s="26"/>
      <c r="K1507" s="26"/>
      <c r="L1507" s="26"/>
      <c r="M1507" s="26"/>
      <c r="N1507" s="26"/>
      <c r="O1507" s="26"/>
      <c r="P1507" s="26"/>
      <c r="Q1507" s="26"/>
      <c r="R1507" s="26"/>
      <c r="S1507" s="26"/>
      <c r="T1507" s="26"/>
      <c r="U1507" s="26"/>
      <c r="V1507" s="26"/>
      <c r="W1507" s="26"/>
      <c r="X1507" s="26"/>
      <c r="Y1507" s="26"/>
      <c r="Z1507" s="26"/>
      <c r="AA1507" s="26"/>
      <c r="AB1507" s="26"/>
      <c r="AC1507" s="26"/>
      <c r="AD1507" s="26"/>
      <c r="AE1507" s="26"/>
      <c r="AF1507" s="26"/>
      <c r="AG1507" s="26"/>
      <c r="AH1507" s="26"/>
      <c r="AI1507" s="26"/>
      <c r="AJ1507" s="26"/>
      <c r="AK1507" s="26"/>
      <c r="AL1507" s="26"/>
      <c r="AM1507" s="26"/>
      <c r="AN1507" s="26"/>
      <c r="AO1507" s="26"/>
      <c r="AP1507" s="26"/>
      <c r="AQ1507" s="26"/>
      <c r="AR1507" s="26"/>
      <c r="AS1507" s="26"/>
      <c r="AT1507" s="26"/>
      <c r="AU1507" s="26"/>
      <c r="AV1507" s="26"/>
      <c r="AW1507" s="26"/>
      <c r="AX1507" s="26"/>
      <c r="AY1507" s="26"/>
    </row>
    <row r="1508" spans="1:51" ht="12.75" customHeight="1">
      <c r="A1508" s="26"/>
      <c r="B1508" s="66"/>
      <c r="C1508" s="67"/>
      <c r="D1508" s="67"/>
      <c r="E1508" s="26"/>
      <c r="F1508" s="26"/>
      <c r="G1508" s="26"/>
      <c r="H1508" s="26"/>
      <c r="I1508" s="26"/>
      <c r="J1508" s="26"/>
      <c r="K1508" s="26"/>
      <c r="L1508" s="26"/>
      <c r="M1508" s="26"/>
      <c r="N1508" s="26"/>
      <c r="O1508" s="26"/>
      <c r="P1508" s="26"/>
      <c r="Q1508" s="26"/>
      <c r="R1508" s="26"/>
      <c r="S1508" s="26"/>
      <c r="T1508" s="26"/>
      <c r="U1508" s="26"/>
      <c r="V1508" s="26"/>
      <c r="W1508" s="26"/>
      <c r="X1508" s="26"/>
      <c r="Y1508" s="26"/>
      <c r="Z1508" s="26"/>
      <c r="AA1508" s="26"/>
      <c r="AB1508" s="26"/>
      <c r="AC1508" s="26"/>
      <c r="AD1508" s="26"/>
      <c r="AE1508" s="26"/>
      <c r="AF1508" s="26"/>
      <c r="AG1508" s="26"/>
      <c r="AH1508" s="26"/>
      <c r="AI1508" s="26"/>
      <c r="AJ1508" s="26"/>
      <c r="AK1508" s="26"/>
      <c r="AL1508" s="26"/>
      <c r="AM1508" s="26"/>
      <c r="AN1508" s="26"/>
      <c r="AO1508" s="26"/>
      <c r="AP1508" s="26"/>
      <c r="AQ1508" s="26"/>
      <c r="AR1508" s="26"/>
      <c r="AS1508" s="26"/>
      <c r="AT1508" s="26"/>
      <c r="AU1508" s="26"/>
      <c r="AV1508" s="26"/>
      <c r="AW1508" s="26"/>
      <c r="AX1508" s="26"/>
      <c r="AY1508" s="26"/>
    </row>
    <row r="1509" spans="1:51" ht="12.75" customHeight="1">
      <c r="A1509" s="26"/>
      <c r="B1509" s="66"/>
      <c r="C1509" s="67"/>
      <c r="D1509" s="67"/>
      <c r="E1509" s="26"/>
      <c r="F1509" s="26"/>
      <c r="G1509" s="26"/>
      <c r="H1509" s="26"/>
      <c r="I1509" s="26"/>
      <c r="J1509" s="26"/>
      <c r="K1509" s="26"/>
      <c r="L1509" s="26"/>
      <c r="M1509" s="26"/>
      <c r="N1509" s="26"/>
      <c r="O1509" s="26"/>
      <c r="P1509" s="26"/>
      <c r="Q1509" s="26"/>
      <c r="R1509" s="26"/>
      <c r="S1509" s="26"/>
      <c r="T1509" s="26"/>
      <c r="U1509" s="26"/>
      <c r="V1509" s="26"/>
      <c r="W1509" s="26"/>
      <c r="X1509" s="26"/>
      <c r="Y1509" s="26"/>
      <c r="Z1509" s="26"/>
      <c r="AA1509" s="26"/>
      <c r="AB1509" s="26"/>
      <c r="AC1509" s="26"/>
      <c r="AD1509" s="26"/>
      <c r="AE1509" s="26"/>
      <c r="AF1509" s="26"/>
      <c r="AG1509" s="26"/>
      <c r="AH1509" s="26"/>
      <c r="AI1509" s="26"/>
      <c r="AJ1509" s="26"/>
      <c r="AK1509" s="26"/>
      <c r="AL1509" s="26"/>
      <c r="AM1509" s="26"/>
      <c r="AN1509" s="26"/>
      <c r="AO1509" s="26"/>
      <c r="AP1509" s="26"/>
      <c r="AQ1509" s="26"/>
      <c r="AR1509" s="26"/>
      <c r="AS1509" s="26"/>
      <c r="AT1509" s="26"/>
      <c r="AU1509" s="26"/>
      <c r="AV1509" s="26"/>
      <c r="AW1509" s="26"/>
      <c r="AX1509" s="26"/>
      <c r="AY1509" s="26"/>
    </row>
    <row r="1510" spans="1:51" ht="12.75" customHeight="1">
      <c r="A1510" s="26"/>
      <c r="B1510" s="66"/>
      <c r="C1510" s="67"/>
      <c r="D1510" s="67"/>
      <c r="E1510" s="26"/>
      <c r="F1510" s="26"/>
      <c r="G1510" s="26"/>
      <c r="H1510" s="26"/>
      <c r="I1510" s="26"/>
      <c r="J1510" s="26"/>
      <c r="K1510" s="26"/>
      <c r="L1510" s="26"/>
      <c r="M1510" s="26"/>
      <c r="N1510" s="26"/>
      <c r="O1510" s="26"/>
      <c r="P1510" s="26"/>
      <c r="Q1510" s="26"/>
      <c r="R1510" s="26"/>
      <c r="S1510" s="26"/>
      <c r="T1510" s="26"/>
      <c r="U1510" s="26"/>
      <c r="V1510" s="26"/>
      <c r="W1510" s="26"/>
      <c r="X1510" s="26"/>
      <c r="Y1510" s="26"/>
      <c r="Z1510" s="26"/>
      <c r="AA1510" s="26"/>
      <c r="AB1510" s="26"/>
      <c r="AC1510" s="26"/>
      <c r="AD1510" s="26"/>
      <c r="AE1510" s="26"/>
      <c r="AF1510" s="26"/>
      <c r="AG1510" s="26"/>
      <c r="AH1510" s="26"/>
      <c r="AI1510" s="26"/>
      <c r="AJ1510" s="26"/>
      <c r="AK1510" s="26"/>
      <c r="AL1510" s="26"/>
      <c r="AM1510" s="26"/>
      <c r="AN1510" s="26"/>
      <c r="AO1510" s="26"/>
      <c r="AP1510" s="26"/>
      <c r="AQ1510" s="26"/>
      <c r="AR1510" s="26"/>
      <c r="AS1510" s="26"/>
      <c r="AT1510" s="26"/>
      <c r="AU1510" s="26"/>
      <c r="AV1510" s="26"/>
      <c r="AW1510" s="26"/>
      <c r="AX1510" s="26"/>
      <c r="AY1510" s="26"/>
    </row>
    <row r="1511" spans="1:51" ht="12.75" customHeight="1">
      <c r="A1511" s="26"/>
      <c r="B1511" s="66"/>
      <c r="C1511" s="67"/>
      <c r="D1511" s="67"/>
      <c r="E1511" s="26"/>
      <c r="F1511" s="26"/>
      <c r="G1511" s="26"/>
      <c r="H1511" s="26"/>
      <c r="I1511" s="26"/>
      <c r="J1511" s="26"/>
      <c r="K1511" s="26"/>
      <c r="L1511" s="26"/>
      <c r="M1511" s="26"/>
      <c r="N1511" s="26"/>
      <c r="O1511" s="26"/>
      <c r="P1511" s="26"/>
      <c r="Q1511" s="26"/>
      <c r="R1511" s="26"/>
      <c r="S1511" s="26"/>
      <c r="T1511" s="26"/>
      <c r="U1511" s="26"/>
      <c r="V1511" s="26"/>
      <c r="W1511" s="26"/>
      <c r="X1511" s="26"/>
      <c r="Y1511" s="26"/>
      <c r="Z1511" s="26"/>
      <c r="AA1511" s="26"/>
      <c r="AB1511" s="26"/>
      <c r="AC1511" s="26"/>
      <c r="AD1511" s="26"/>
      <c r="AE1511" s="26"/>
      <c r="AF1511" s="26"/>
      <c r="AG1511" s="26"/>
      <c r="AH1511" s="26"/>
      <c r="AI1511" s="26"/>
      <c r="AJ1511" s="26"/>
      <c r="AK1511" s="26"/>
      <c r="AL1511" s="26"/>
      <c r="AM1511" s="26"/>
      <c r="AN1511" s="26"/>
      <c r="AO1511" s="26"/>
      <c r="AP1511" s="26"/>
      <c r="AQ1511" s="26"/>
      <c r="AR1511" s="26"/>
      <c r="AS1511" s="26"/>
      <c r="AT1511" s="26"/>
      <c r="AU1511" s="26"/>
      <c r="AV1511" s="26"/>
      <c r="AW1511" s="26"/>
      <c r="AX1511" s="26"/>
      <c r="AY1511" s="26"/>
    </row>
    <row r="1512" spans="1:51" ht="12.75" customHeight="1">
      <c r="A1512" s="26"/>
      <c r="B1512" s="66"/>
      <c r="C1512" s="67"/>
      <c r="D1512" s="67"/>
      <c r="E1512" s="26"/>
      <c r="F1512" s="26"/>
      <c r="G1512" s="26"/>
      <c r="H1512" s="26"/>
      <c r="I1512" s="26"/>
      <c r="J1512" s="26"/>
      <c r="K1512" s="26"/>
      <c r="L1512" s="26"/>
      <c r="M1512" s="26"/>
      <c r="N1512" s="26"/>
      <c r="O1512" s="26"/>
      <c r="P1512" s="26"/>
      <c r="Q1512" s="26"/>
      <c r="R1512" s="26"/>
      <c r="S1512" s="26"/>
      <c r="T1512" s="26"/>
      <c r="U1512" s="26"/>
      <c r="V1512" s="26"/>
      <c r="W1512" s="26"/>
      <c r="X1512" s="26"/>
      <c r="Y1512" s="26"/>
      <c r="Z1512" s="26"/>
      <c r="AA1512" s="26"/>
      <c r="AB1512" s="26"/>
      <c r="AC1512" s="26"/>
      <c r="AD1512" s="26"/>
      <c r="AE1512" s="26"/>
      <c r="AF1512" s="26"/>
      <c r="AG1512" s="26"/>
      <c r="AH1512" s="26"/>
      <c r="AI1512" s="26"/>
      <c r="AJ1512" s="26"/>
      <c r="AK1512" s="26"/>
      <c r="AL1512" s="26"/>
      <c r="AM1512" s="26"/>
      <c r="AN1512" s="26"/>
      <c r="AO1512" s="26"/>
      <c r="AP1512" s="26"/>
      <c r="AQ1512" s="26"/>
      <c r="AR1512" s="26"/>
      <c r="AS1512" s="26"/>
      <c r="AT1512" s="26"/>
      <c r="AU1512" s="26"/>
      <c r="AV1512" s="26"/>
      <c r="AW1512" s="26"/>
      <c r="AX1512" s="26"/>
      <c r="AY1512" s="26"/>
    </row>
    <row r="1513" spans="1:51" ht="12.75" customHeight="1">
      <c r="A1513" s="26"/>
      <c r="B1513" s="66"/>
      <c r="C1513" s="67"/>
      <c r="D1513" s="67"/>
      <c r="E1513" s="26"/>
      <c r="F1513" s="26"/>
      <c r="G1513" s="26"/>
      <c r="H1513" s="26"/>
      <c r="I1513" s="26"/>
      <c r="J1513" s="26"/>
      <c r="K1513" s="26"/>
      <c r="L1513" s="26"/>
      <c r="M1513" s="26"/>
      <c r="N1513" s="26"/>
      <c r="O1513" s="26"/>
      <c r="P1513" s="26"/>
      <c r="Q1513" s="26"/>
      <c r="R1513" s="26"/>
      <c r="S1513" s="26"/>
      <c r="T1513" s="26"/>
      <c r="U1513" s="26"/>
      <c r="V1513" s="26"/>
      <c r="W1513" s="26"/>
      <c r="X1513" s="26"/>
      <c r="Y1513" s="26"/>
      <c r="Z1513" s="26"/>
      <c r="AA1513" s="26"/>
      <c r="AB1513" s="26"/>
      <c r="AC1513" s="26"/>
      <c r="AD1513" s="26"/>
      <c r="AE1513" s="26"/>
      <c r="AF1513" s="26"/>
      <c r="AG1513" s="26"/>
      <c r="AH1513" s="26"/>
      <c r="AI1513" s="26"/>
      <c r="AJ1513" s="26"/>
      <c r="AK1513" s="26"/>
      <c r="AL1513" s="26"/>
      <c r="AM1513" s="26"/>
      <c r="AN1513" s="26"/>
      <c r="AO1513" s="26"/>
      <c r="AP1513" s="26"/>
      <c r="AQ1513" s="26"/>
      <c r="AR1513" s="26"/>
      <c r="AS1513" s="26"/>
      <c r="AT1513" s="26"/>
      <c r="AU1513" s="26"/>
      <c r="AV1513" s="26"/>
      <c r="AW1513" s="26"/>
      <c r="AX1513" s="26"/>
      <c r="AY1513" s="26"/>
    </row>
    <row r="1514" spans="1:51" ht="12.75" customHeight="1">
      <c r="A1514" s="26"/>
      <c r="B1514" s="66"/>
      <c r="C1514" s="67"/>
      <c r="D1514" s="67"/>
      <c r="E1514" s="26"/>
      <c r="F1514" s="26"/>
      <c r="G1514" s="26"/>
      <c r="H1514" s="26"/>
      <c r="I1514" s="26"/>
      <c r="J1514" s="26"/>
      <c r="K1514" s="26"/>
      <c r="L1514" s="26"/>
      <c r="M1514" s="26"/>
      <c r="N1514" s="26"/>
      <c r="O1514" s="26"/>
      <c r="P1514" s="26"/>
      <c r="Q1514" s="26"/>
      <c r="R1514" s="26"/>
      <c r="S1514" s="26"/>
      <c r="T1514" s="26"/>
      <c r="U1514" s="26"/>
      <c r="V1514" s="26"/>
      <c r="W1514" s="26"/>
      <c r="X1514" s="26"/>
      <c r="Y1514" s="26"/>
      <c r="Z1514" s="26"/>
      <c r="AA1514" s="26"/>
      <c r="AB1514" s="26"/>
      <c r="AC1514" s="26"/>
      <c r="AD1514" s="26"/>
      <c r="AE1514" s="26"/>
      <c r="AF1514" s="26"/>
      <c r="AG1514" s="26"/>
      <c r="AH1514" s="26"/>
      <c r="AI1514" s="26"/>
      <c r="AJ1514" s="26"/>
      <c r="AK1514" s="26"/>
      <c r="AL1514" s="26"/>
      <c r="AM1514" s="26"/>
      <c r="AN1514" s="26"/>
      <c r="AO1514" s="26"/>
      <c r="AP1514" s="26"/>
      <c r="AQ1514" s="26"/>
      <c r="AR1514" s="26"/>
      <c r="AS1514" s="26"/>
      <c r="AT1514" s="26"/>
      <c r="AU1514" s="26"/>
      <c r="AV1514" s="26"/>
      <c r="AW1514" s="26"/>
      <c r="AX1514" s="26"/>
      <c r="AY1514" s="26"/>
    </row>
    <row r="1515" spans="1:51" ht="12.75" customHeight="1">
      <c r="A1515" s="26"/>
      <c r="B1515" s="66"/>
      <c r="C1515" s="67"/>
      <c r="D1515" s="67"/>
      <c r="E1515" s="26"/>
      <c r="F1515" s="26"/>
      <c r="G1515" s="26"/>
      <c r="H1515" s="26"/>
      <c r="I1515" s="26"/>
      <c r="J1515" s="26"/>
      <c r="K1515" s="26"/>
      <c r="L1515" s="26"/>
      <c r="M1515" s="26"/>
      <c r="N1515" s="26"/>
      <c r="O1515" s="26"/>
      <c r="P1515" s="26"/>
      <c r="Q1515" s="26"/>
      <c r="R1515" s="26"/>
      <c r="S1515" s="26"/>
      <c r="T1515" s="26"/>
      <c r="U1515" s="26"/>
      <c r="V1515" s="26"/>
      <c r="W1515" s="26"/>
      <c r="X1515" s="26"/>
      <c r="Y1515" s="26"/>
      <c r="Z1515" s="26"/>
      <c r="AA1515" s="26"/>
      <c r="AB1515" s="26"/>
      <c r="AC1515" s="26"/>
      <c r="AD1515" s="26"/>
      <c r="AE1515" s="26"/>
      <c r="AF1515" s="26"/>
      <c r="AG1515" s="26"/>
      <c r="AH1515" s="26"/>
      <c r="AI1515" s="26"/>
      <c r="AJ1515" s="26"/>
      <c r="AK1515" s="26"/>
      <c r="AL1515" s="26"/>
      <c r="AM1515" s="26"/>
      <c r="AN1515" s="26"/>
      <c r="AO1515" s="26"/>
      <c r="AP1515" s="26"/>
      <c r="AQ1515" s="26"/>
      <c r="AR1515" s="26"/>
      <c r="AS1515" s="26"/>
      <c r="AT1515" s="26"/>
      <c r="AU1515" s="26"/>
      <c r="AV1515" s="26"/>
      <c r="AW1515" s="26"/>
      <c r="AX1515" s="26"/>
      <c r="AY1515" s="26"/>
    </row>
    <row r="1516" spans="1:51" ht="12.75" customHeight="1"/>
  </sheetData>
  <mergeCells count="10">
    <mergeCell ref="B412:B413"/>
    <mergeCell ref="B414:B415"/>
    <mergeCell ref="A565:A571"/>
    <mergeCell ref="A572:A577"/>
    <mergeCell ref="A102:A109"/>
    <mergeCell ref="A110:A116"/>
    <mergeCell ref="B404:B405"/>
    <mergeCell ref="B406:B407"/>
    <mergeCell ref="B408:B409"/>
    <mergeCell ref="B410:B411"/>
  </mergeCells>
  <phoneticPr fontId="30" type="noConversion"/>
  <pageMargins left="0.7" right="0.7" top="0.75" bottom="0.75" header="0.3" footer="0.3"/>
  <pageSetup paperSize="9" scale="51"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7"/>
  <sheetViews>
    <sheetView zoomScale="70" zoomScaleNormal="70" workbookViewId="0">
      <selection activeCell="J45" sqref="J45"/>
    </sheetView>
  </sheetViews>
  <sheetFormatPr defaultColWidth="9.109375" defaultRowHeight="13.2"/>
  <cols>
    <col min="1" max="1" width="49.109375" style="1" customWidth="1"/>
    <col min="2" max="5" width="17.33203125" style="1" bestFit="1" customWidth="1"/>
    <col min="6" max="6" width="17.5546875" style="1" customWidth="1"/>
    <col min="7" max="7" width="17.33203125" style="1" bestFit="1" customWidth="1"/>
    <col min="8" max="8" width="9.109375" style="1"/>
    <col min="9" max="9" width="10.33203125" style="1" bestFit="1" customWidth="1"/>
    <col min="10" max="10" width="22.88671875" style="1" customWidth="1"/>
    <col min="11" max="11" width="10.5546875" style="1" bestFit="1" customWidth="1"/>
    <col min="12" max="12" width="18.33203125" style="1" customWidth="1"/>
    <col min="13" max="13" width="17.109375" style="1" customWidth="1"/>
    <col min="14" max="14" width="13.88671875" style="1" customWidth="1"/>
    <col min="15" max="15" width="15" style="1" customWidth="1"/>
    <col min="16" max="16" width="14.33203125" style="1" customWidth="1"/>
    <col min="17" max="18" width="9.109375" style="1"/>
    <col min="19" max="20" width="14" style="1" bestFit="1" customWidth="1"/>
    <col min="21" max="16384" width="9.109375" style="1"/>
  </cols>
  <sheetData>
    <row r="1" spans="1:13">
      <c r="L1" s="387" t="s">
        <v>280</v>
      </c>
      <c r="M1" s="386"/>
    </row>
    <row r="2" spans="1:13" s="6" customFormat="1" ht="15.6">
      <c r="A2" s="291" t="s">
        <v>167</v>
      </c>
      <c r="B2" s="291" t="s">
        <v>165</v>
      </c>
      <c r="C2" s="292" t="s">
        <v>165</v>
      </c>
      <c r="D2" s="292" t="s">
        <v>165</v>
      </c>
      <c r="E2" s="292" t="s">
        <v>165</v>
      </c>
      <c r="F2" s="292" t="s">
        <v>281</v>
      </c>
      <c r="G2" s="292" t="s">
        <v>282</v>
      </c>
      <c r="L2" s="320">
        <v>114140</v>
      </c>
    </row>
    <row r="3" spans="1:13" s="6" customFormat="1">
      <c r="A3" s="293"/>
      <c r="B3" s="294">
        <v>1990</v>
      </c>
      <c r="C3" s="291">
        <v>2018</v>
      </c>
      <c r="D3" s="291" t="s">
        <v>223</v>
      </c>
      <c r="E3" s="291" t="s">
        <v>224</v>
      </c>
      <c r="F3" s="291" t="s">
        <v>279</v>
      </c>
      <c r="G3" s="291" t="s">
        <v>283</v>
      </c>
    </row>
    <row r="4" spans="1:13" s="6" customFormat="1">
      <c r="A4" s="295" t="s">
        <v>153</v>
      </c>
      <c r="B4" s="296">
        <f>('1990'!$X$17*'1990'!$E$89+(IF(SUM('1990'!$I$33:$I$71)=0,0,'1990'!$X$18-('1990'!$I$16+'1990'!$I$18)/('1990'!$I$16+'1990'!$I$18+'1990'!$I$24+SUM('1990'!$I$33:$I$71))*SUM('1990'!$L$31:$V$31)))*'1990'!$I$89)/1000</f>
        <v>126.533946</v>
      </c>
      <c r="C4" s="296">
        <f>('2018'!$X$17*'2018'!$E$89+(IF(SUM('2018'!$I$33:$I$71)=0,0,'2018'!$X$18-('2018'!$I$16+'2018'!$I$18)/('2018'!$I$16+'2018'!$I$18+'2018'!$I$24+SUM('2018'!$I$33:$I$71))*SUM('2018'!$L$31:$V$31)))*'2018'!$I$89)/1000</f>
        <v>31.159299999999998</v>
      </c>
      <c r="D4" s="296">
        <f>('BAU2030'!$X$17*'BAU2030'!$E$89+(IF(SUM('BAU2030'!$I$33:$I$71)=0,0,'BAU2030'!$X$18-('BAU2030'!$I$16+'BAU2030'!$I$18)/('BAU2030'!$I$16+'BAU2030'!$I$18+'BAU2030'!$I$24+SUM('BAU2030'!$I$33:$I$71))*SUM('BAU2030'!$L$31:$V$31)))*'BAU2030'!$I$89)/1000</f>
        <v>18.755078399999999</v>
      </c>
      <c r="E4" s="296">
        <f>('BAU2050'!$X$17*'BAU2050'!$E$89+(IF(SUM('BAU2050'!$I$33:$I$71)=0,0,'BAU2050'!$X$18-('BAU2050'!$I$16+'BAU2050'!$I$18)/('BAU2050'!$I$16+'BAU2050'!$I$18+'BAU2050'!$I$24+SUM('BAU2050'!$I$33:$I$71))*SUM('BAU2050'!$L$31:$V$31)))*'BAU2050'!$I$89)/1000</f>
        <v>15.64992</v>
      </c>
      <c r="F4" s="296" t="e">
        <f>(#REF!*#REF!+(IF(SUM(#REF!)=0,0,#REF!-(#REF!+#REF!)/(#REF!+#REF!+#REF!+SUM(#REF!))*SUM(#REF!)))*#REF!)/1000</f>
        <v>#REF!</v>
      </c>
      <c r="G4" s="296" t="e">
        <f>(#REF!*#REF!+(IF(SUM(#REF!)=0,0,#REF!-(#REF!+#REF!)/(#REF!+#REF!+#REF!+SUM(#REF!))*SUM(#REF!)))*#REF!)/1000</f>
        <v>#REF!</v>
      </c>
      <c r="I4" s="297"/>
      <c r="L4" s="19"/>
    </row>
    <row r="5" spans="1:13" s="6" customFormat="1">
      <c r="A5" s="295" t="s">
        <v>154</v>
      </c>
      <c r="B5" s="136">
        <f>(SUM('1990'!$B$33:$B$62)*'1990'!$B$89+SUM('1990'!$C$33:$C$62)*'1990'!$C$89+SUM('1990'!$D$33:$D$62)*'1990'!$D$89+SUM('1990'!$E$33:$E$62)*'1990'!$E$89+SUM('1990'!$F$33:$F$62)*'1990'!$F$89+SUM('1990'!$G$33:$G$62)*'1990'!$G$89+SUM('1990'!$H$33:$H$62)*'1990'!$H$89+(IF(SUM('1990'!$I$33:$I$71)=0,0,SUM('1990'!$I$33:$I$62)-SUM('1990'!$I$33:$I$71)/('1990'!$I$16+'1990'!$I$18+'1990'!$I$24+SUM('1990'!$I$33:$I$71))*SUM('1990'!$L$31:$V$31)))*'1990'!$I$89+SUM('1990'!$W$33:$W$62)*'1990'!$W$89)/1000</f>
        <v>203.65582000000001</v>
      </c>
      <c r="C5" s="136">
        <f>(SUM('2018'!$B$33:$B$62)*'2018'!$B$89+SUM('2018'!$C$33:$C$62)*'2018'!$C$89+SUM('2018'!$D$33:$D$62)*'2018'!$D$89+SUM('2018'!$E$33:$E$62)*'2018'!$E$89+SUM('2018'!$F$33:$F$62)*'2018'!$F$89+SUM('2018'!$G$33:$G$62)*'2018'!$G$89+SUM('2018'!$H$33:$H$62)*'2018'!$H$89+(IF(SUM('2018'!$I$33:$I$71)=0,0,SUM('2018'!$I$33:$I$62)-SUM('2018'!$I$33:$I$71)/('2018'!$I$16+'2018'!$I$18+'2018'!$I$24+SUM('2018'!$I$33:$I$71))*SUM('2018'!$L$31:$V$31)))*'2018'!$I$89+SUM('2018'!$W$33:$W$62)*'2018'!$W$89)/1000</f>
        <v>12.205934999999998</v>
      </c>
      <c r="D5" s="136">
        <f>(SUM('BAU2030'!$B$33:$B$62)*'BAU2030'!$B$89+SUM('BAU2030'!$C$33:$C$62)*'BAU2030'!$C$89+SUM('BAU2030'!$D$33:$D$62)*'BAU2030'!$D$89+SUM('BAU2030'!$E$33:$E$62)*'BAU2030'!$E$89+SUM('BAU2030'!$F$33:$F$62)*'BAU2030'!$F$89+SUM('BAU2030'!$G$33:$G$62)*'BAU2030'!$G$89+SUM('BAU2030'!$H$33:$H$62)*'BAU2030'!$H$89+(IF(SUM('BAU2030'!$I$33:$I$71)=0,0,SUM('BAU2030'!$I$33:$I$62)-SUM('BAU2030'!$I$33:$I$71)/('BAU2030'!$I$16+'BAU2030'!$I$18+'BAU2030'!$I$24+SUM('BAU2030'!$I$33:$I$71))*SUM('BAU2030'!$L$31:$V$31)))*'BAU2030'!$I$89+SUM('BAU2030'!$W$33:$W$62)*'BAU2030'!$W$89)/1000</f>
        <v>5.8416998399999995</v>
      </c>
      <c r="E5" s="136">
        <f>(SUM('BAU2050'!$B$33:$B$62)*'BAU2050'!$B$89+SUM('BAU2050'!$C$33:$C$62)*'BAU2050'!$C$89+SUM('BAU2050'!$D$33:$D$62)*'BAU2050'!$D$89+SUM('BAU2050'!$E$33:$E$62)*'BAU2050'!$E$89+SUM('BAU2050'!$F$33:$F$62)*'BAU2050'!$F$89+SUM('BAU2050'!$G$33:$G$62)*'BAU2050'!$G$89+SUM('BAU2050'!$H$33:$H$62)*'BAU2050'!$H$89+(IF(SUM('BAU2050'!$I$33:$I$71)=0,0,SUM('BAU2050'!$I$33:$I$62)-SUM('BAU2050'!$I$33:$I$71)/('BAU2050'!$I$16+'BAU2050'!$I$18+'BAU2050'!$I$24+SUM('BAU2050'!$I$33:$I$71))*SUM('BAU2050'!$L$31:$V$31)))*'BAU2050'!$I$89+SUM('BAU2050'!$W$33:$W$62)*'BAU2050'!$W$89)/1000</f>
        <v>5.5004481000000007</v>
      </c>
      <c r="F5" s="320" t="e">
        <f>(SUM(#REF!)*#REF!+SUM(#REF!)*#REF!+SUM(#REF!)*#REF!+SUM(#REF!)*#REF!+SUM(#REF!)*#REF!+SUM(#REF!)*#REF!+SUM(#REF!)*#REF!+(IF(SUM(#REF!)=0,0,SUM(#REF!)-SUM(#REF!)/(#REF!+#REF!+#REF!+SUM(#REF!))*SUM(#REF!)))*#REF!+SUM(#REF!)*#REF!)/1000</f>
        <v>#REF!</v>
      </c>
      <c r="G5" s="320" t="e">
        <f>(SUM(#REF!)*#REF!+SUM(#REF!)*#REF!+SUM(#REF!)*#REF!+SUM(#REF!)*#REF!+SUM(#REF!)*#REF!+SUM(#REF!)*#REF!+SUM(#REF!)*#REF!+(IF(SUM(#REF!)=0,0,SUM(#REF!)-SUM(#REF!)/(#REF!+#REF!+#REF!+SUM(#REF!))*SUM(#REF!)))*#REF!+SUM(#REF!)*#REF!)/1000</f>
        <v>#REF!</v>
      </c>
      <c r="I5" s="297"/>
    </row>
    <row r="6" spans="1:13" s="6" customFormat="1">
      <c r="A6" s="295" t="s">
        <v>246</v>
      </c>
      <c r="B6" s="136">
        <f>(SUM('1990'!$B$63:$B$71,'1990'!$B$24:$B$25,'1990'!$B$23,'1990'!$B$16)*'1990'!$B$89+SUM('1990'!$C$63:$C$71,'1990'!$C$24:$C$25,'1990'!$C$23,'1990'!$C$16)*'1990'!$C$89+SUM('1990'!$D$63:$D$71,'1990'!$D$24:$D$25,'1990'!$D$23,'1990'!$D$16)*'1990'!$D$89+SUM('1990'!$E$63:$E$71,'1990'!$E$24:$E$25,'1990'!$E$23,'1990'!$E$16)*'1990'!$E$89+SUM('1990'!$F$63:$F$71,'1990'!$F$24:$F$25,'1990'!$F$23,'1990'!$F$16)*'1990'!$F$89+SUM('1990'!$G$63:$G$71,'1990'!$G$24:$G$25,'1990'!$G$23,'1990'!$G$16)*'1990'!$G$89+SUM('1990'!$G$63:$G$71,'1990'!$G$24:$G$25,'1990'!$G$23,'1990'!$G$16)*'1990'!$G$89+SUM('1990'!$H$63:$H$71,'1990'!$H$24:$H$25,'1990'!$H$23,'1990'!$H$16)*'1990'!$H$89+(SUM('1990'!$I$63:$I$71,'1990'!$I$24:$I$25,'1990'!$I$23,'1990'!$I$16)-IF(SUM('1990'!$I$31:$I$71)=0,0,('1990'!$I$24)/('1990'!$I$16+'1990'!$I$18+'1990'!$I$24+SUM('1990'!$I$33:$I$71)))*SUM('1990'!$L$31:$V$31))*'1990'!$I$89+SUM('1990'!$W$63:$W$71,'1990'!$W$24:$W$25,'1990'!$W$23,'1990'!$W$16)*'1990'!$W$89)/1000</f>
        <v>54.537596999999998</v>
      </c>
      <c r="C6" s="136">
        <f>(SUM('2018'!$B$63:$B$71,'2018'!$B$24:$B$25,'2018'!$B$23,'2018'!$B$16)*'2018'!$B$89+SUM('2018'!$C$63:$C$71,'2018'!$C$24:$C$25,'2018'!$C$23,'2018'!$C$16)*'2018'!$C$89+SUM('2018'!$D$63:$D$71,'2018'!$D$24:$D$25,'2018'!$D$23,'2018'!$D$16)*'2018'!$D$89+SUM('2018'!$E$63:$E$71,'2018'!$E$24:$E$25,'2018'!$E$23,'2018'!$E$16)*'2018'!$E$89+SUM('2018'!$F$63:$F$71,'2018'!$F$24:$F$25,'2018'!$F$23,'2018'!$F$16)*'2018'!$F$89+SUM('2018'!$G$63:$G$71,'2018'!$G$24:$G$25,'2018'!$G$23,'2018'!$G$16)*'2018'!$G$89+SUM('2018'!$G$63:$G$71,'2018'!$G$24:$G$25,'2018'!$G$23,'2018'!$G$16)*'2018'!$G$89+SUM('2018'!$H$63:$H$71,'2018'!$H$24:$H$25,'2018'!$H$23,'2018'!$H$16)*'2018'!$H$89+(SUM('2018'!$I$63:$I$71,'2018'!$I$24:$I$25,'2018'!$I$23,'2018'!$I$16)-IF(SUM('2018'!$I$31:$I$71)=0,0,('2018'!$I$24)/('2018'!$I$16+'2018'!$I$18+'2018'!$I$24+SUM('2018'!$I$33:$I$71)))*SUM('2018'!$L$31:$V$31))*'2018'!$I$89+SUM('2018'!$W$63:$W$71,'2018'!$W$24:$W$25,'2018'!$W$23,'2018'!$W$16)*'2018'!$W$89)/1000</f>
        <v>44.493400000000001</v>
      </c>
      <c r="D6" s="136">
        <f>(SUM('BAU2030'!$B$63:$B$71,'BAU2030'!$B$24:$B$25,'BAU2030'!$B$23,'BAU2030'!$B$16)*'BAU2030'!$B$89+SUM('BAU2030'!$C$63:$C$71,'BAU2030'!$C$24:$C$25,'BAU2030'!$C$23,'BAU2030'!$C$16)*'BAU2030'!$C$89+SUM('BAU2030'!$D$63:$D$71,'BAU2030'!$D$24:$D$25,'BAU2030'!$D$23,'BAU2030'!$D$16)*'BAU2030'!$D$89+SUM('BAU2030'!$E$63:$E$71,'BAU2030'!$E$24:$E$25,'BAU2030'!$E$23,'BAU2030'!$E$16)*'BAU2030'!$E$89+SUM('BAU2030'!$F$63:$F$71,'BAU2030'!$F$24:$F$25,'BAU2030'!$F$23,'BAU2030'!$F$16)*'BAU2030'!$F$89+SUM('BAU2030'!$G$63:$G$71,'BAU2030'!$G$24:$G$25,'BAU2030'!$G$23,'BAU2030'!$G$16)*'BAU2030'!$G$89+SUM('BAU2030'!$G$63:$G$71,'BAU2030'!$G$24:$G$25,'BAU2030'!$G$23,'BAU2030'!$G$16)*'BAU2030'!$G$89+SUM('BAU2030'!$H$63:$H$71,'BAU2030'!$H$24:$H$25,'BAU2030'!$H$23,'BAU2030'!$H$16)*'BAU2030'!$H$89+(SUM('BAU2030'!$I$63:$I$71,'BAU2030'!$I$24:$I$25,'BAU2030'!$I$23,'BAU2030'!$I$16)-IF(SUM('BAU2030'!$I$31:$I$71)=0,0,('BAU2030'!$I$24)/('BAU2030'!$I$16+'BAU2030'!$I$18+'BAU2030'!$I$24+SUM('BAU2030'!$I$33:$I$71)))*SUM('BAU2030'!$L$31:$V$31))*'BAU2030'!$I$89+SUM('BAU2030'!$W$63:$W$71,'BAU2030'!$W$24:$W$25,'BAU2030'!$W$23,'BAU2030'!$W$16)*'BAU2030'!$W$89)/1000</f>
        <v>44.493400000000001</v>
      </c>
      <c r="E6" s="136">
        <f>(SUM('BAU2050'!$B$63:$B$71,'BAU2050'!$B$24:$B$25,'BAU2050'!$B$23,'BAU2050'!$B$16)*'BAU2050'!$B$89+SUM('BAU2050'!$C$63:$C$71,'BAU2050'!$C$24:$C$25,'BAU2050'!$C$23,'BAU2050'!$C$16)*'BAU2050'!$C$89+SUM('BAU2050'!$D$63:$D$71,'BAU2050'!$D$24:$D$25,'BAU2050'!$D$23,'BAU2050'!$D$16)*'BAU2050'!$D$89+SUM('BAU2050'!$E$63:$E$71,'BAU2050'!$E$24:$E$25,'BAU2050'!$E$23,'BAU2050'!$E$16)*'BAU2050'!$E$89+SUM('BAU2050'!$F$63:$F$71,'BAU2050'!$F$24:$F$25,'BAU2050'!$F$23,'BAU2050'!$F$16)*'BAU2050'!$F$89+SUM('BAU2050'!$G$63:$G$71,'BAU2050'!$G$24:$G$25,'BAU2050'!$G$23,'BAU2050'!$G$16)*'BAU2050'!$G$89+SUM('BAU2050'!$G$63:$G$71,'BAU2050'!$G$24:$G$25,'BAU2050'!$G$23,'BAU2050'!$G$16)*'BAU2050'!$G$89+SUM('BAU2050'!$H$63:$H$71,'BAU2050'!$H$24:$H$25,'BAU2050'!$H$23,'BAU2050'!$H$16)*'BAU2050'!$H$89+(SUM('BAU2050'!$I$63:$I$71,'BAU2050'!$I$24:$I$25,'BAU2050'!$I$23,'BAU2050'!$I$16)-IF(SUM('BAU2050'!$I$31:$I$71)=0,0,('BAU2050'!$I$24)/('BAU2050'!$I$16+'BAU2050'!$I$18+'BAU2050'!$I$24+SUM('BAU2050'!$I$33:$I$71)))*SUM('BAU2050'!$L$31:$V$31))*'BAU2050'!$I$89+SUM('BAU2050'!$W$63:$W$71,'BAU2050'!$W$24:$W$25,'BAU2050'!$W$23,'BAU2050'!$W$16)*'BAU2050'!$W$89)/1000</f>
        <v>44.493400000000001</v>
      </c>
      <c r="F6" s="320" t="e">
        <f>(SUM(#REF!,#REF!,#REF!,#REF!)*#REF!+SUM(#REF!,#REF!,#REF!,#REF!)*#REF!+SUM(#REF!,#REF!,#REF!,#REF!)*#REF!+SUM(#REF!,#REF!,#REF!,#REF!)*#REF!+SUM(#REF!,#REF!,#REF!,#REF!)*#REF!+SUM(#REF!,#REF!,#REF!,#REF!)*#REF!+SUM(#REF!,#REF!,#REF!,#REF!)*#REF!+SUM(#REF!,#REF!,#REF!,#REF!)*#REF!+(SUM(#REF!,#REF!,#REF!,#REF!)-IF(SUM(#REF!)=0,0,(#REF!)/(#REF!+#REF!+#REF!+SUM(#REF!)))*SUM(#REF!))*#REF!+SUM(#REF!,#REF!,#REF!,#REF!)*#REF!)/1000</f>
        <v>#REF!</v>
      </c>
      <c r="G6" s="320" t="e">
        <f>(SUM(#REF!,#REF!,#REF!,#REF!)*#REF!+SUM(#REF!,#REF!,#REF!,#REF!)*#REF!+SUM(#REF!,#REF!,#REF!,#REF!)*#REF!+SUM(#REF!,#REF!,#REF!,#REF!)*#REF!+SUM(#REF!,#REF!,#REF!,#REF!)*#REF!+SUM(#REF!,#REF!,#REF!,#REF!)*#REF!+SUM(#REF!,#REF!,#REF!,#REF!)*#REF!+SUM(#REF!,#REF!,#REF!,#REF!)*#REF!+(SUM(#REF!,#REF!,#REF!,#REF!)-IF(SUM(#REF!)=0,0,(#REF!)/(#REF!+#REF!+#REF!+SUM(#REF!)))*SUM(#REF!))*#REF!+SUM(#REF!,#REF!,#REF!,#REF!)*#REF!)/1000</f>
        <v>#REF!</v>
      </c>
      <c r="H6" s="6" t="s">
        <v>305</v>
      </c>
      <c r="I6" s="297"/>
    </row>
    <row r="7" spans="1:13" s="6" customFormat="1">
      <c r="A7" s="295" t="s">
        <v>156</v>
      </c>
      <c r="B7" s="136">
        <f>('1990'!$D$80*'1990'!$D$89+'1990'!$F$82*1000+'1990'!$G$82*1000+'1990'!$H$82*1000)/1000</f>
        <v>234.02307000000002</v>
      </c>
      <c r="C7" s="136">
        <f>('2018'!$D$80*'2018'!$D$89+'2018'!$F$82*1000+'2018'!$G$82*1000+'2018'!$H$82*1000)/1000</f>
        <v>264.93598910000003</v>
      </c>
      <c r="D7" s="136">
        <f>('BAU2030'!$D$80*'BAU2030'!$D$89+'BAU2030'!$F$82*1000+'BAU2030'!$G$82*1000+'BAU2030'!$H$82*1000)/1000</f>
        <v>235.53322944900003</v>
      </c>
      <c r="E7" s="136">
        <f>('BAU2050'!$D$80*'BAU2050'!$D$89+'BAU2050'!$F$82*1000+'BAU2050'!$G$82*1000+'BAU2050'!$H$82*1000)/1000</f>
        <v>155.97907681999999</v>
      </c>
      <c r="F7" s="320" t="e">
        <f>(#REF!*#REF!+#REF!*1000+#REF!*1000+#REF!*1000)/1000</f>
        <v>#REF!</v>
      </c>
      <c r="G7" s="320" t="e">
        <f>(#REF!*#REF!+#REF!*1000+#REF!*1000+#REF!*1000)/1000</f>
        <v>#REF!</v>
      </c>
      <c r="H7" s="6" t="s">
        <v>299</v>
      </c>
      <c r="I7" s="297"/>
    </row>
    <row r="8" spans="1:13" s="6" customFormat="1">
      <c r="A8" s="295" t="s">
        <v>157</v>
      </c>
      <c r="B8" s="136">
        <f>'1990'!$A$82</f>
        <v>220.68337272360841</v>
      </c>
      <c r="C8" s="136">
        <f>'2018'!$A$82</f>
        <v>-16.253355625390768</v>
      </c>
      <c r="D8" s="136">
        <f>'BAU2030'!$A$82</f>
        <v>0</v>
      </c>
      <c r="E8" s="136">
        <f>'BAU2050'!$A$82</f>
        <v>0</v>
      </c>
      <c r="F8" s="320" t="e">
        <f>#REF!</f>
        <v>#REF!</v>
      </c>
      <c r="G8" s="320" t="e">
        <f>#REF!</f>
        <v>#REF!</v>
      </c>
      <c r="I8" s="297"/>
      <c r="J8" s="298"/>
    </row>
    <row r="9" spans="1:13" s="6" customFormat="1">
      <c r="A9" s="307" t="s">
        <v>147</v>
      </c>
      <c r="B9" s="308">
        <f>SUM(B4:B8)</f>
        <v>839.43380572360843</v>
      </c>
      <c r="C9" s="309">
        <f>SUM(C4:C8)</f>
        <v>336.54126847460924</v>
      </c>
      <c r="D9" s="309">
        <f>SUM(D4:D8)</f>
        <v>304.62340768900003</v>
      </c>
      <c r="E9" s="309">
        <f>SUM(E4:E8)</f>
        <v>221.62284491999998</v>
      </c>
      <c r="F9" s="309" t="e">
        <f t="shared" ref="F9:G9" si="0">SUM(F4:F8)</f>
        <v>#REF!</v>
      </c>
      <c r="G9" s="309" t="e">
        <f t="shared" si="0"/>
        <v>#REF!</v>
      </c>
      <c r="I9" s="297"/>
    </row>
    <row r="10" spans="1:13" s="6" customFormat="1">
      <c r="A10" s="291" t="s">
        <v>242</v>
      </c>
      <c r="B10" s="300">
        <f>B9*1000/$L$2</f>
        <v>7.3544226890100619</v>
      </c>
      <c r="C10" s="300">
        <f t="shared" ref="C10:E10" si="1">C9*1000/$L$2</f>
        <v>2.9484954308271356</v>
      </c>
      <c r="D10" s="300">
        <f t="shared" si="1"/>
        <v>2.668857610732434</v>
      </c>
      <c r="E10" s="300">
        <f t="shared" si="1"/>
        <v>1.9416755293499208</v>
      </c>
      <c r="F10" s="300" t="e">
        <f t="shared" ref="F10" si="2">F9*1000/$L$2</f>
        <v>#REF!</v>
      </c>
      <c r="G10" s="300" t="e">
        <f t="shared" ref="G10" si="3">G9*1000/$L$2</f>
        <v>#REF!</v>
      </c>
      <c r="I10" s="297"/>
    </row>
    <row r="11" spans="1:13">
      <c r="H11" s="6"/>
      <c r="I11" s="297"/>
    </row>
    <row r="12" spans="1:13">
      <c r="C12" s="301"/>
      <c r="D12" s="290"/>
      <c r="H12" s="6"/>
      <c r="I12" s="302"/>
    </row>
    <row r="13" spans="1:13">
      <c r="H13" s="6"/>
      <c r="I13" s="302"/>
    </row>
    <row r="14" spans="1:13">
      <c r="H14" s="6"/>
      <c r="I14" s="302"/>
    </row>
    <row r="15" spans="1:13" ht="15.6">
      <c r="A15" s="291" t="s">
        <v>167</v>
      </c>
      <c r="B15" s="291" t="s">
        <v>165</v>
      </c>
      <c r="C15" s="292" t="s">
        <v>165</v>
      </c>
      <c r="D15" s="292" t="s">
        <v>165</v>
      </c>
      <c r="E15" s="292" t="s">
        <v>165</v>
      </c>
      <c r="F15" s="292" t="s">
        <v>281</v>
      </c>
      <c r="G15" s="292" t="s">
        <v>282</v>
      </c>
      <c r="I15" s="6"/>
      <c r="J15" s="302"/>
    </row>
    <row r="16" spans="1:13">
      <c r="A16" s="288"/>
      <c r="B16" s="288">
        <v>1990</v>
      </c>
      <c r="C16" s="288">
        <v>2018</v>
      </c>
      <c r="D16" s="163" t="s">
        <v>223</v>
      </c>
      <c r="E16" s="303" t="s">
        <v>224</v>
      </c>
      <c r="F16" s="303" t="s">
        <v>279</v>
      </c>
      <c r="G16" s="303" t="s">
        <v>283</v>
      </c>
      <c r="I16" s="6"/>
      <c r="J16" s="302"/>
    </row>
    <row r="17" spans="1:20">
      <c r="A17" s="288" t="s">
        <v>156</v>
      </c>
      <c r="B17" s="269">
        <f>B7</f>
        <v>234.02307000000002</v>
      </c>
      <c r="C17" s="269">
        <f>C7</f>
        <v>264.93598910000003</v>
      </c>
      <c r="D17" s="269">
        <f>D7</f>
        <v>235.53322944900003</v>
      </c>
      <c r="E17" s="269">
        <f>E7</f>
        <v>155.97907681999999</v>
      </c>
      <c r="F17" s="269" t="e">
        <f t="shared" ref="F17:G17" si="4">F7</f>
        <v>#REF!</v>
      </c>
      <c r="G17" s="269" t="e">
        <f t="shared" si="4"/>
        <v>#REF!</v>
      </c>
      <c r="H17" s="289" t="s">
        <v>304</v>
      </c>
      <c r="I17" s="6"/>
      <c r="J17" s="302"/>
    </row>
    <row r="18" spans="1:20">
      <c r="A18" s="288" t="s">
        <v>250</v>
      </c>
      <c r="B18" s="269">
        <f>B8+B6+B5+B4</f>
        <v>605.41073572360835</v>
      </c>
      <c r="C18" s="269">
        <f>C8+C6+C5+C4</f>
        <v>71.605279374609225</v>
      </c>
      <c r="D18" s="269">
        <f>D8+D6+D5+D4</f>
        <v>69.09017824</v>
      </c>
      <c r="E18" s="269">
        <f>E8+E6+E5+E4</f>
        <v>65.643768100000003</v>
      </c>
      <c r="F18" s="269" t="e">
        <f t="shared" ref="F18:G18" si="5">F8+F6+F5+F4</f>
        <v>#REF!</v>
      </c>
      <c r="G18" s="269" t="e">
        <f t="shared" si="5"/>
        <v>#REF!</v>
      </c>
      <c r="H18" s="289" t="s">
        <v>155</v>
      </c>
      <c r="I18" s="6"/>
      <c r="J18" s="302"/>
    </row>
    <row r="19" spans="1:20">
      <c r="A19" s="310" t="s">
        <v>147</v>
      </c>
      <c r="B19" s="309">
        <f>SUM(B17:B18)</f>
        <v>839.43380572360843</v>
      </c>
      <c r="C19" s="309">
        <f>SUM(C17:C18)</f>
        <v>336.54126847460924</v>
      </c>
      <c r="D19" s="309">
        <f>SUM(D17:D18)</f>
        <v>304.62340768900003</v>
      </c>
      <c r="E19" s="309">
        <f>SUM(E17:E18)</f>
        <v>221.62284491999998</v>
      </c>
      <c r="F19" s="309" t="e">
        <f t="shared" ref="F19:G19" si="6">SUM(F17:F18)</f>
        <v>#REF!</v>
      </c>
      <c r="G19" s="309" t="e">
        <f t="shared" si="6"/>
        <v>#REF!</v>
      </c>
      <c r="I19" s="4"/>
      <c r="J19" s="304"/>
    </row>
    <row r="20" spans="1:20">
      <c r="A20" s="291" t="s">
        <v>242</v>
      </c>
      <c r="B20" s="300">
        <f>B19*1000/$L$2</f>
        <v>7.3544226890100619</v>
      </c>
      <c r="C20" s="300">
        <f t="shared" ref="C20:E20" si="7">C19*1000/$L$2</f>
        <v>2.9484954308271356</v>
      </c>
      <c r="D20" s="300">
        <f t="shared" si="7"/>
        <v>2.668857610732434</v>
      </c>
      <c r="E20" s="300">
        <f t="shared" si="7"/>
        <v>1.9416755293499208</v>
      </c>
      <c r="F20" s="300" t="e">
        <f t="shared" ref="F20" si="8">F19*1000/$L$2</f>
        <v>#REF!</v>
      </c>
      <c r="G20" s="300" t="e">
        <f t="shared" ref="G20" si="9">G19*1000/$L$2</f>
        <v>#REF!</v>
      </c>
      <c r="I20" s="6"/>
      <c r="J20" s="304"/>
    </row>
    <row r="21" spans="1:20">
      <c r="D21" s="290"/>
      <c r="I21" s="305"/>
      <c r="J21" s="306"/>
    </row>
    <row r="22" spans="1:20">
      <c r="D22" s="290"/>
      <c r="H22" s="6"/>
      <c r="I22" s="304"/>
    </row>
    <row r="23" spans="1:20" s="405" customFormat="1">
      <c r="A23" s="412" t="s">
        <v>306</v>
      </c>
      <c r="D23" s="409"/>
      <c r="H23" s="410"/>
      <c r="I23" s="411"/>
    </row>
    <row r="24" spans="1:20">
      <c r="D24" s="290"/>
      <c r="H24" s="6"/>
      <c r="I24" s="302"/>
    </row>
    <row r="25" spans="1:20">
      <c r="A25" s="289" t="s">
        <v>285</v>
      </c>
      <c r="B25" s="396"/>
      <c r="C25" s="396"/>
      <c r="D25" s="396"/>
      <c r="E25" s="396"/>
      <c r="F25" s="396"/>
      <c r="G25" s="396"/>
      <c r="H25" s="6"/>
      <c r="I25" s="302"/>
      <c r="J25" s="1" t="s">
        <v>302</v>
      </c>
    </row>
    <row r="26" spans="1:20">
      <c r="A26" s="288"/>
      <c r="B26" s="394">
        <v>1990</v>
      </c>
      <c r="C26" s="394">
        <v>2018</v>
      </c>
      <c r="D26" s="395" t="s">
        <v>223</v>
      </c>
      <c r="E26" s="394" t="s">
        <v>224</v>
      </c>
      <c r="F26" s="394" t="s">
        <v>279</v>
      </c>
      <c r="G26" s="394" t="s">
        <v>283</v>
      </c>
      <c r="H26" s="6"/>
      <c r="I26" s="302"/>
      <c r="J26" s="288"/>
      <c r="K26" s="288">
        <v>1990</v>
      </c>
      <c r="L26" s="288">
        <v>2018</v>
      </c>
      <c r="M26" s="288" t="s">
        <v>241</v>
      </c>
      <c r="N26" s="288" t="s">
        <v>224</v>
      </c>
      <c r="O26" s="288" t="s">
        <v>279</v>
      </c>
      <c r="P26" s="288" t="s">
        <v>283</v>
      </c>
      <c r="S26" s="288" t="s">
        <v>303</v>
      </c>
      <c r="T26" s="303" t="s">
        <v>319</v>
      </c>
    </row>
    <row r="27" spans="1:20">
      <c r="A27" s="288" t="s">
        <v>135</v>
      </c>
      <c r="B27" s="370">
        <f>'1990'!$E$33*'1990'!$Z$33/100+'1990'!$E$34*'1990'!$Z$34/100+'1990'!$E$35*'1990'!$Z$35/100+'1990'!$E$36*'1990'!$Z$36/100+'1990'!$E$39*'1990'!$Z$39/100+'1990'!$E$40*'1990'!$Z$40/100+'1990'!$E$41*'1990'!$Z$41/100+'1990'!$E$42*'1990'!$Z$42/100+'1990'!$E$43*'1990'!$Z$43/100+'1990'!$E$44*'1990'!$Z$44/100+'1990'!$E$45*'1990'!$Z$45/100+'1990'!$E$46*'1990'!$Z$46/100+'1990'!$E$47*'1990'!$Z$47/100+'1990'!$E$48*'1990'!$Z$48/100+'1990'!$E$49*'1990'!$Z$49/100+'1990'!$E$50*'1990'!$Z$50/100+'1990'!$E$51*'1990'!$Z$51/100+'1990'!$E$52*'1990'!$Z$52/100+'1990'!$E$32*'1990'!$Z$32/100+'1990'!$E$53*'1990'!$Z$53/100+'1990'!$E$54*'1990'!$Z$54/100+'1990'!$E$55*'1990'!$Z$55/100+'1990'!$E$56*'1990'!$Z$56/100+'1990'!$E$57*'1990'!$Z$57/100+'1990'!$E$58*'1990'!$Z$58/100+'1990'!$E$59*'1990'!$Z$59/100+'1990'!$E$60*'1990'!$Z$60/100+'1990'!$E$61*'1990'!$Z$61/100+'1990'!$E$62*'1990'!$Z$62/100+'1990'!$E$63*'1990'!$Z$63/100+'1990'!$E$64*'1990'!$Z$64/100+'1990'!$E$65*'1990'!$Z$65/100+'1990'!$E$66*'1990'!$Z$66/100+'1990'!$E$67*'1990'!$Z$67/100+'1990'!$E$68*'1990'!$Z$68/100</f>
        <v>0</v>
      </c>
      <c r="C27" s="370">
        <f>'2018'!$E$33*'2018'!$Z$33/100+'2018'!$E$34*'2018'!$Z$34/100+'2018'!$E$35*'2018'!$Z$35/100+'2018'!$E$36*'2018'!$Z$36/100+'2018'!$E$39*'2018'!$Z$39/100+'2018'!$E$40*'2018'!$Z$40/100+'2018'!$E$41*'2018'!$Z$41/100+'2018'!$E$42*'2018'!$Z$42/100+'2018'!$E$43*'2018'!$Z$43/100+'2018'!$E$44*'2018'!$Z$44/100+'2018'!$E$45*'2018'!$Z$45/100+'2018'!$E$46*'2018'!$Z$46/100+'2018'!$E$47*'2018'!$Z$47/100+'2018'!$E$48*'2018'!$Z$48/100+'2018'!$E$49*'2018'!$Z$49/100+'2018'!$E$50*'2018'!$Z$50/100+'2018'!$E$51*'2018'!$Z$51/100+'2018'!$E$52*'2018'!$Z$52/100+'2018'!$E$32*'2018'!$Z$32/100+'2018'!$E$53*'2018'!$Z$53/100+'2018'!$E$54*'2018'!$Z$54/100+'2018'!$E$55*'2018'!$Z$55/100+'2018'!$E$56*'2018'!$Z$56/100+'2018'!$E$57*'2018'!$Z$57/100+'2018'!$E$58*'2018'!$Z$58/100+'2018'!$E$59*'2018'!$Z$59/100+'2018'!$E$60*'2018'!$Z$60/100+'2018'!$E$61*'2018'!$Z$61/100+'2018'!$E$62*'2018'!$Z$62/100+'2018'!$E$63*'2018'!$Z$63/100+'2018'!$E$64*'2018'!$Z$64/100+'2018'!$E$65*'2018'!$Z$65/100+'2018'!$E$66*'2018'!$Z$66/100+'2018'!$E$67*'2018'!$Z$67/100+'2018'!$E$68*'2018'!$Z$68/100</f>
        <v>0</v>
      </c>
      <c r="D27" s="370">
        <f>'BAU2030'!$E$33*'BAU2030'!$Z$33/100+'BAU2030'!$E$34*'BAU2030'!$Z$34/100+'BAU2030'!$E$35*'BAU2030'!$Z$35/100+'BAU2030'!$E$36*'BAU2030'!$Z$36/100+'BAU2030'!$E$39*'BAU2030'!$Z$39/100+'BAU2030'!$E$40*'BAU2030'!$Z$40/100+'BAU2030'!$E$41*'BAU2030'!$Z$41/100+'BAU2030'!$E$42*'BAU2030'!$Z$42/100+'BAU2030'!$E$43*'BAU2030'!$Z$43/100+'BAU2030'!$E$44*'BAU2030'!$Z$44/100+'BAU2030'!$E$45*'BAU2030'!$Z$45/100+'BAU2030'!$E$46*'BAU2030'!$Z$46/100+'BAU2030'!$E$47*'BAU2030'!$Z$47/100+'BAU2030'!$E$48*'BAU2030'!$Z$48/100+'BAU2030'!$E$49*'BAU2030'!$Z$49/100+'BAU2030'!$E$50*'BAU2030'!$Z$50/100+'BAU2030'!$E$51*'BAU2030'!$Z$51/100+'BAU2030'!$E$52*'BAU2030'!$Z$52/100+'BAU2030'!$E$32*'BAU2030'!$Z$32/100+'BAU2030'!$E$53*'BAU2030'!$Z$53/100+'BAU2030'!$E$54*'BAU2030'!$Z$54/100+'BAU2030'!$E$55*'BAU2030'!$Z$55/100+'BAU2030'!$E$56*'BAU2030'!$Z$56/100+'BAU2030'!$E$57*'BAU2030'!$Z$57/100+'BAU2030'!$E$58*'BAU2030'!$Z$58/100+'BAU2030'!$E$59*'BAU2030'!$Z$59/100+'BAU2030'!$E$60*'BAU2030'!$Z$60/100+'BAU2030'!$E$61*'BAU2030'!$Z$61/100+'BAU2030'!$E$62*'BAU2030'!$Z$62/100+'BAU2030'!$E$63*'BAU2030'!$Z$63/100+'BAU2030'!$E$64*'BAU2030'!$Z$64/100+'BAU2030'!$E$65*'BAU2030'!$Z$65/100+'BAU2030'!$E$66*'BAU2030'!$Z$66/100+'BAU2030'!$E$67*'BAU2030'!$Z$67/100+'BAU2030'!$E$68*'BAU2030'!$Z$68/100</f>
        <v>0</v>
      </c>
      <c r="E27" s="370">
        <f>'BAU2050'!$E$33*'BAU2050'!$Z$33/100+'BAU2050'!$E$34*'BAU2050'!$Z$34/100+'BAU2050'!$E$35*'BAU2050'!$Z$35/100+'BAU2050'!$E$36*'BAU2050'!$Z$36/100+'BAU2050'!$E$39*'BAU2050'!$Z$39/100+'BAU2050'!$E$40*'BAU2050'!$Z$40/100+'BAU2050'!$E$41*'BAU2050'!$Z$41/100+'BAU2050'!$E$42*'BAU2050'!$Z$42/100+'BAU2050'!$E$43*'BAU2050'!$Z$43/100+'BAU2050'!$E$44*'BAU2050'!$Z$44/100+'BAU2050'!$E$45*'BAU2050'!$Z$45/100+'BAU2050'!$E$46*'BAU2050'!$Z$46/100+'BAU2050'!$E$47*'BAU2050'!$Z$47/100+'BAU2050'!$E$48*'BAU2050'!$Z$48/100+'BAU2050'!$E$49*'BAU2050'!$Z$49/100+'BAU2050'!$E$50*'BAU2050'!$Z$50/100+'BAU2050'!$E$51*'BAU2050'!$Z$51/100+'BAU2050'!$E$52*'BAU2050'!$Z$52/100+'BAU2050'!$E$32*'BAU2050'!$Z$32/100+'BAU2050'!$E$53*'BAU2050'!$Z$53/100+'BAU2050'!$E$54*'BAU2050'!$Z$54/100+'BAU2050'!$E$55*'BAU2050'!$Z$55/100+'BAU2050'!$E$56*'BAU2050'!$Z$56/100+'BAU2050'!$E$57*'BAU2050'!$Z$57/100+'BAU2050'!$E$58*'BAU2050'!$Z$58/100+'BAU2050'!$E$59*'BAU2050'!$Z$59/100+'BAU2050'!$E$60*'BAU2050'!$Z$60/100+'BAU2050'!$E$61*'BAU2050'!$Z$61/100+'BAU2050'!$E$62*'BAU2050'!$Z$62/100+'BAU2050'!$E$63*'BAU2050'!$Z$63/100+'BAU2050'!$E$64*'BAU2050'!$Z$64/100+'BAU2050'!$E$65*'BAU2050'!$Z$65/100+'BAU2050'!$E$66*'BAU2050'!$Z$66/100+'BAU2050'!$E$67*'BAU2050'!$Z$67/100+'BAU2050'!$E$68*'BAU2050'!$Z$68/100</f>
        <v>0</v>
      </c>
      <c r="F27"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G27"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H27" s="6"/>
      <c r="I27" s="302"/>
      <c r="J27" s="288" t="s">
        <v>196</v>
      </c>
      <c r="K27" s="269">
        <f>SUM('1990'!$AD$33:$AD$47)+SUM('1990'!$AD$50:$AD$56)+SUM('1990'!$AD$59:$AD$68)</f>
        <v>436.76990725999997</v>
      </c>
      <c r="L27" s="269">
        <f>SUM('2018'!$AD$33:$AD$47)+SUM('2018'!$AD$50:$AD$56)+SUM('2018'!$AD$59:$AD$68)</f>
        <v>538.25789999999995</v>
      </c>
      <c r="M27" s="269">
        <f>SUM('BAU2030'!$AD$33:$AD$47)+SUM('BAU2030'!$AD$50:$AD$56)+SUM('BAU2030'!$AD$59:$AD$68)</f>
        <v>492.39674880000013</v>
      </c>
      <c r="N27" s="269">
        <f>SUM('BAU2050'!$AD$33:$AD$47)+SUM('BAU2050'!$AD$50:$AD$56)+SUM('BAU2050'!$AD$59:$AD$68)</f>
        <v>461.62195200000008</v>
      </c>
      <c r="O27" s="269" t="e">
        <f>SUM(#REF!)+SUM(#REF!)+SUM(#REF!)</f>
        <v>#REF!</v>
      </c>
      <c r="P27" s="269" t="e">
        <f>#REF!</f>
        <v>#REF!</v>
      </c>
      <c r="S27" s="407" t="e">
        <f>P27/$P$32</f>
        <v>#REF!</v>
      </c>
      <c r="T27" s="407" t="e">
        <f>O27/$O$32</f>
        <v>#REF!</v>
      </c>
    </row>
    <row r="28" spans="1:20">
      <c r="A28" s="288" t="s">
        <v>132</v>
      </c>
      <c r="B28" s="370">
        <f>'1990'!$C$33*'1990'!$Z$33/100+'1990'!$C$34*'1990'!$Z$34/100+'1990'!$C$35*'1990'!$Z$35/100+'1990'!$C$36*'1990'!$Z$36/100+'1990'!$C$39*'1990'!$Z$39/100+'1990'!$C$40*'1990'!$Z$40/100+'1990'!$C$41*'1990'!$Z$41/100+'1990'!$C$42*'1990'!$Z$42/100+'1990'!$C$43*'1990'!$Z$43/100+'1990'!$C$44*'1990'!$Z$44/100+'1990'!$C$45*'1990'!$Z$45/100+'1990'!$C$46*'1990'!$Z$46/100+'1990'!$C$47*'1990'!$Z$47/100+'1990'!$C$48*'1990'!$Z$48/100+'1990'!$C$49*'1990'!$Z$49/100+'1990'!$C$50*'1990'!$Z$50/100+'1990'!$C$51*'1990'!$Z$51/100+'1990'!$C$52*'1990'!$Z$52/100+'1990'!$C$32*'1990'!$Z$32/100+'1990'!$C$53*'1990'!$Z$53/100+'1990'!$C$54*'1990'!$Z$54/100+'1990'!$C$55*'1990'!$Z$55/100+'1990'!$C$56*'1990'!$Z$56/100+'1990'!$C$57*'1990'!$Z$57/100+'1990'!$C$58*'1990'!$Z$58/100+'1990'!$C$59*'1990'!$Z$59/100+'1990'!$C$60*'1990'!$Z$60/100+'1990'!$C$61*'1990'!$Z$61/100+'1990'!$C$62*'1990'!$Z$62/100+'1990'!$C$63*'1990'!$Z$63/100+'1990'!$C$64*'1990'!$Z$64/100+'1990'!$C$65*'1990'!$Z$65/100+'1990'!$C$66*'1990'!$Z$66/100+'1990'!$C$67*'1990'!$Z$67/100+'1990'!$C$68*'1990'!$Z$68/100</f>
        <v>428.72388000000001</v>
      </c>
      <c r="C28" s="370">
        <f>'2018'!$C$33*'2018'!$Z$33/100+'2018'!$C$34*'2018'!$Z$34/100+'2018'!$C$35*'2018'!$Z$35/100+'2018'!$C$36*'2018'!$Z$36/100+'2018'!$C$39*'2018'!$Z$39/100+'2018'!$C$40*'2018'!$Z$40/100+'2018'!$C$41*'2018'!$Z$41/100+'2018'!$C$42*'2018'!$Z$42/100+'2018'!$C$43*'2018'!$Z$43/100+'2018'!$C$44*'2018'!$Z$44/100+'2018'!$C$45*'2018'!$Z$45/100+'2018'!$C$46*'2018'!$Z$46/100+'2018'!$C$47*'2018'!$Z$47/100+'2018'!$C$48*'2018'!$Z$48/100+'2018'!$C$49*'2018'!$Z$49/100+'2018'!$C$50*'2018'!$Z$50/100+'2018'!$C$51*'2018'!$Z$51/100+'2018'!$C$52*'2018'!$Z$52/100+'2018'!$C$32*'2018'!$Z$32/100+'2018'!$C$53*'2018'!$Z$53/100+'2018'!$C$54*'2018'!$Z$54/100+'2018'!$C$55*'2018'!$Z$55/100+'2018'!$C$56*'2018'!$Z$56/100+'2018'!$C$57*'2018'!$Z$57/100+'2018'!$C$58*'2018'!$Z$58/100+'2018'!$C$59*'2018'!$Z$59/100+'2018'!$C$60*'2018'!$Z$60/100+'2018'!$C$61*'2018'!$Z$61/100+'2018'!$C$62*'2018'!$Z$62/100+'2018'!$C$63*'2018'!$Z$63/100+'2018'!$C$64*'2018'!$Z$64/100+'2018'!$C$65*'2018'!$Z$65/100+'2018'!$C$66*'2018'!$Z$66/100+'2018'!$C$67*'2018'!$Z$67/100+'2018'!$C$68*'2018'!$Z$68/100</f>
        <v>1.8228000000000002</v>
      </c>
      <c r="D28" s="370">
        <f>'BAU2030'!$C$33*'BAU2030'!$Z$33/100+'BAU2030'!$C$34*'BAU2030'!$Z$34/100+'BAU2030'!$C$35*'BAU2030'!$Z$35/100+'BAU2030'!$C$36*'BAU2030'!$Z$36/100+'BAU2030'!$C$39*'BAU2030'!$Z$39/100+'BAU2030'!$C$40*'BAU2030'!$Z$40/100+'BAU2030'!$C$41*'BAU2030'!$Z$41/100+'BAU2030'!$C$42*'BAU2030'!$Z$42/100+'BAU2030'!$C$43*'BAU2030'!$Z$43/100+'BAU2030'!$C$44*'BAU2030'!$Z$44/100+'BAU2030'!$C$45*'BAU2030'!$Z$45/100+'BAU2030'!$C$46*'BAU2030'!$Z$46/100+'BAU2030'!$C$47*'BAU2030'!$Z$47/100+'BAU2030'!$C$48*'BAU2030'!$Z$48/100+'BAU2030'!$C$49*'BAU2030'!$Z$49/100+'BAU2030'!$C$50*'BAU2030'!$Z$50/100+'BAU2030'!$C$51*'BAU2030'!$Z$51/100+'BAU2030'!$C$52*'BAU2030'!$Z$52/100+'BAU2030'!$C$32*'BAU2030'!$Z$32/100+'BAU2030'!$C$53*'BAU2030'!$Z$53/100+'BAU2030'!$C$54*'BAU2030'!$Z$54/100+'BAU2030'!$C$55*'BAU2030'!$Z$55/100+'BAU2030'!$C$56*'BAU2030'!$Z$56/100+'BAU2030'!$C$57*'BAU2030'!$Z$57/100+'BAU2030'!$C$58*'BAU2030'!$Z$58/100+'BAU2030'!$C$59*'BAU2030'!$Z$59/100+'BAU2030'!$C$60*'BAU2030'!$Z$60/100+'BAU2030'!$C$61*'BAU2030'!$Z$61/100+'BAU2030'!$C$62*'BAU2030'!$Z$62/100+'BAU2030'!$C$63*'BAU2030'!$Z$63/100+'BAU2030'!$C$64*'BAU2030'!$Z$64/100+'BAU2030'!$C$65*'BAU2030'!$Z$65/100+'BAU2030'!$C$66*'BAU2030'!$Z$66/100+'BAU2030'!$C$67*'BAU2030'!$Z$67/100+'BAU2030'!$C$68*'BAU2030'!$Z$68/100</f>
        <v>1.7498880000000003</v>
      </c>
      <c r="E28" s="370">
        <f>'BAU2050'!$C$33*'BAU2050'!$Z$33/100+'BAU2050'!$C$34*'BAU2050'!$Z$34/100+'BAU2050'!$C$35*'BAU2050'!$Z$35/100+'BAU2050'!$C$36*'BAU2050'!$Z$36/100+'BAU2050'!$C$39*'BAU2050'!$Z$39/100+'BAU2050'!$C$40*'BAU2050'!$Z$40/100+'BAU2050'!$C$41*'BAU2050'!$Z$41/100+'BAU2050'!$C$42*'BAU2050'!$Z$42/100+'BAU2050'!$C$43*'BAU2050'!$Z$43/100+'BAU2050'!$C$44*'BAU2050'!$Z$44/100+'BAU2050'!$C$45*'BAU2050'!$Z$45/100+'BAU2050'!$C$46*'BAU2050'!$Z$46/100+'BAU2050'!$C$47*'BAU2050'!$Z$47/100+'BAU2050'!$C$48*'BAU2050'!$Z$48/100+'BAU2050'!$C$49*'BAU2050'!$Z$49/100+'BAU2050'!$C$50*'BAU2050'!$Z$50/100+'BAU2050'!$C$51*'BAU2050'!$Z$51/100+'BAU2050'!$C$52*'BAU2050'!$Z$52/100+'BAU2050'!$C$32*'BAU2050'!$Z$32/100+'BAU2050'!$C$53*'BAU2050'!$Z$53/100+'BAU2050'!$C$54*'BAU2050'!$Z$54/100+'BAU2050'!$C$55*'BAU2050'!$Z$55/100+'BAU2050'!$C$56*'BAU2050'!$Z$56/100+'BAU2050'!$C$57*'BAU2050'!$Z$57/100+'BAU2050'!$C$58*'BAU2050'!$Z$58/100+'BAU2050'!$C$59*'BAU2050'!$Z$59/100+'BAU2050'!$C$60*'BAU2050'!$Z$60/100+'BAU2050'!$C$61*'BAU2050'!$Z$61/100+'BAU2050'!$C$62*'BAU2050'!$Z$62/100+'BAU2050'!$C$63*'BAU2050'!$Z$63/100+'BAU2050'!$C$64*'BAU2050'!$Z$64/100+'BAU2050'!$C$65*'BAU2050'!$Z$65/100+'BAU2050'!$C$66*'BAU2050'!$Z$66/100+'BAU2050'!$C$67*'BAU2050'!$Z$67/100+'BAU2050'!$C$68*'BAU2050'!$Z$68/100</f>
        <v>1.6405200000000002</v>
      </c>
      <c r="F28"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G28"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I28" s="302"/>
      <c r="J28" s="288" t="s">
        <v>197</v>
      </c>
      <c r="K28" s="269">
        <f>'1990'!$AD$27</f>
        <v>14.45</v>
      </c>
      <c r="L28" s="269">
        <f>'2018'!$AD$27</f>
        <v>1209.5999999999999</v>
      </c>
      <c r="M28" s="269">
        <f>'BAU2030'!$AD$27</f>
        <v>2195.6</v>
      </c>
      <c r="N28" s="269">
        <f>'BAU2050'!$AD$27</f>
        <v>2195.6</v>
      </c>
      <c r="O28" s="269" t="e">
        <f>#REF!</f>
        <v>#REF!</v>
      </c>
      <c r="P28" s="269" t="e">
        <f>#REF!</f>
        <v>#REF!</v>
      </c>
      <c r="S28" s="407" t="e">
        <f t="shared" ref="S28:S32" si="10">P28/$P$32</f>
        <v>#REF!</v>
      </c>
      <c r="T28" s="407" t="e">
        <f t="shared" ref="T28:T30" si="11">O28/$O$32</f>
        <v>#REF!</v>
      </c>
    </row>
    <row r="29" spans="1:20">
      <c r="A29" s="288" t="s">
        <v>134</v>
      </c>
      <c r="B29" s="370">
        <f>'1990'!$D$33*'1990'!$Z$33/100+'1990'!$D$34*'1990'!$Z$34/100+'1990'!$D$35*'1990'!$Z$35/100+'1990'!$D$36*'1990'!$Z$36/100+'1990'!$D$39*'1990'!$Z$39/100+'1990'!$D$40*'1990'!$Z$40/100+'1990'!$D$41*'1990'!$Z$41/100+'1990'!$D$42*'1990'!$Z$42/100+'1990'!$D$43*'1990'!$Z$43/100+'1990'!$D$44*'1990'!$Z$44/100+'1990'!$D$45*'1990'!$Z$45/100+'1990'!$D$46*'1990'!$Z$46/100+'1990'!$D$47*'1990'!$Z$47/100+'1990'!$D$48*'1990'!$Z$48/100+'1990'!$D$49*'1990'!$Z$49/100+'1990'!$D$50*'1990'!$Z$50/100+'1990'!$D$51*'1990'!$Z$51/100+'1990'!$D$52*'1990'!$Z$52/100+'1990'!$D$32*'1990'!$Z$32/100+'1990'!$D$53*'1990'!$Z$53/100+'1990'!$D$54*'1990'!$Z$54/100+'1990'!$D$55*'1990'!$Z$55/100+'1990'!$D$56*'1990'!$Z$56/100+'1990'!$D$57*'1990'!$Z$57/100+'1990'!$D$58*'1990'!$Z$58/100+'1990'!$D$59*'1990'!$Z$59/100+'1990'!$D$60*'1990'!$Z$60/100+'1990'!$D$61*'1990'!$Z$61/100+'1990'!$D$62*'1990'!$Z$62/100+'1990'!$D$63*'1990'!$Z$63/100+'1990'!$D$64*'1990'!$Z$64/100+'1990'!$D$65*'1990'!$Z$65/100+'1990'!$D$66*'1990'!$Z$66/100+'1990'!$D$67*'1990'!$Z$67/100+'1990'!$D$68*'1990'!$Z$68/100</f>
        <v>0</v>
      </c>
      <c r="C29" s="370">
        <f>'2018'!$D$33*'2018'!$Z$33/100+'2018'!$D$34*'2018'!$Z$34/100+'2018'!$D$35*'2018'!$Z$35/100+'2018'!$D$36*'2018'!$Z$36/100+'2018'!$D$39*'2018'!$Z$39/100+'2018'!$D$40*'2018'!$Z$40/100+'2018'!$D$41*'2018'!$Z$41/100+'2018'!$D$42*'2018'!$Z$42/100+'2018'!$D$43*'2018'!$Z$43/100+'2018'!$D$44*'2018'!$Z$44/100+'2018'!$D$45*'2018'!$Z$45/100+'2018'!$D$46*'2018'!$Z$46/100+'2018'!$D$47*'2018'!$Z$47/100+'2018'!$D$48*'2018'!$Z$48/100+'2018'!$D$49*'2018'!$Z$49/100+'2018'!$D$50*'2018'!$Z$50/100+'2018'!$D$51*'2018'!$Z$51/100+'2018'!$D$52*'2018'!$Z$52/100+'2018'!$D$32*'2018'!$Z$32/100+'2018'!$D$53*'2018'!$Z$53/100+'2018'!$D$54*'2018'!$Z$54/100+'2018'!$D$55*'2018'!$Z$55/100+'2018'!$D$56*'2018'!$Z$56/100+'2018'!$D$57*'2018'!$Z$57/100+'2018'!$D$58*'2018'!$Z$58/100+'2018'!$D$59*'2018'!$Z$59/100+'2018'!$D$60*'2018'!$Z$60/100+'2018'!$D$61*'2018'!$Z$61/100+'2018'!$D$62*'2018'!$Z$62/100+'2018'!$D$63*'2018'!$Z$63/100+'2018'!$D$64*'2018'!$Z$64/100+'2018'!$D$65*'2018'!$Z$65/100+'2018'!$D$66*'2018'!$Z$66/100+'2018'!$D$67*'2018'!$Z$67/100+'2018'!$D$68*'2018'!$Z$68/100</f>
        <v>0</v>
      </c>
      <c r="D29" s="370">
        <f>'BAU2030'!$D$33*'BAU2030'!$Z$33/100+'BAU2030'!$D$34*'BAU2030'!$Z$34/100+'BAU2030'!$D$35*'BAU2030'!$Z$35/100+'BAU2030'!$D$36*'BAU2030'!$Z$36/100+'BAU2030'!$D$39*'BAU2030'!$Z$39/100+'BAU2030'!$D$40*'BAU2030'!$Z$40/100+'BAU2030'!$D$41*'BAU2030'!$Z$41/100+'BAU2030'!$D$42*'BAU2030'!$Z$42/100+'BAU2030'!$D$43*'BAU2030'!$Z$43/100+'BAU2030'!$D$44*'BAU2030'!$Z$44/100+'BAU2030'!$D$45*'BAU2030'!$Z$45/100+'BAU2030'!$D$46*'BAU2030'!$Z$46/100+'BAU2030'!$D$47*'BAU2030'!$Z$47/100+'BAU2030'!$D$48*'BAU2030'!$Z$48/100+'BAU2030'!$D$49*'BAU2030'!$Z$49/100+'BAU2030'!$D$50*'BAU2030'!$Z$50/100+'BAU2030'!$D$51*'BAU2030'!$Z$51/100+'BAU2030'!$D$52*'BAU2030'!$Z$52/100+'BAU2030'!$D$32*'BAU2030'!$Z$32/100+'BAU2030'!$D$53*'BAU2030'!$Z$53/100+'BAU2030'!$D$54*'BAU2030'!$Z$54/100+'BAU2030'!$D$55*'BAU2030'!$Z$55/100+'BAU2030'!$D$56*'BAU2030'!$Z$56/100+'BAU2030'!$D$57*'BAU2030'!$Z$57/100+'BAU2030'!$D$58*'BAU2030'!$Z$58/100+'BAU2030'!$D$59*'BAU2030'!$Z$59/100+'BAU2030'!$D$60*'BAU2030'!$Z$60/100+'BAU2030'!$D$61*'BAU2030'!$Z$61/100+'BAU2030'!$D$62*'BAU2030'!$Z$62/100+'BAU2030'!$D$63*'BAU2030'!$Z$63/100+'BAU2030'!$D$64*'BAU2030'!$Z$64/100+'BAU2030'!$D$65*'BAU2030'!$Z$65/100+'BAU2030'!$D$66*'BAU2030'!$Z$66/100+'BAU2030'!$D$67*'BAU2030'!$Z$67/100+'BAU2030'!$D$68*'BAU2030'!$Z$68/100</f>
        <v>0</v>
      </c>
      <c r="E29" s="370">
        <f>'BAU2050'!$D$33*'BAU2050'!$Z$33/100+'BAU2050'!$D$34*'BAU2050'!$Z$34/100+'BAU2050'!$D$35*'BAU2050'!$Z$35/100+'BAU2050'!$D$36*'BAU2050'!$Z$36/100+'BAU2050'!$D$39*'BAU2050'!$Z$39/100+'BAU2050'!$D$40*'BAU2050'!$Z$40/100+'BAU2050'!$D$41*'BAU2050'!$Z$41/100+'BAU2050'!$D$42*'BAU2050'!$Z$42/100+'BAU2050'!$D$43*'BAU2050'!$Z$43/100+'BAU2050'!$D$44*'BAU2050'!$Z$44/100+'BAU2050'!$D$45*'BAU2050'!$Z$45/100+'BAU2050'!$D$46*'BAU2050'!$Z$46/100+'BAU2050'!$D$47*'BAU2050'!$Z$47/100+'BAU2050'!$D$48*'BAU2050'!$Z$48/100+'BAU2050'!$D$49*'BAU2050'!$Z$49/100+'BAU2050'!$D$50*'BAU2050'!$Z$50/100+'BAU2050'!$D$51*'BAU2050'!$Z$51/100+'BAU2050'!$D$52*'BAU2050'!$Z$52/100+'BAU2050'!$D$32*'BAU2050'!$Z$32/100+'BAU2050'!$D$53*'BAU2050'!$Z$53/100+'BAU2050'!$D$54*'BAU2050'!$Z$54/100+'BAU2050'!$D$55*'BAU2050'!$Z$55/100+'BAU2050'!$D$56*'BAU2050'!$Z$56/100+'BAU2050'!$D$57*'BAU2050'!$Z$57/100+'BAU2050'!$D$58*'BAU2050'!$Z$58/100+'BAU2050'!$D$59*'BAU2050'!$Z$59/100+'BAU2050'!$D$60*'BAU2050'!$Z$60/100+'BAU2050'!$D$61*'BAU2050'!$Z$61/100+'BAU2050'!$D$62*'BAU2050'!$Z$62/100+'BAU2050'!$D$63*'BAU2050'!$Z$63/100+'BAU2050'!$D$64*'BAU2050'!$Z$64/100+'BAU2050'!$D$65*'BAU2050'!$Z$65/100+'BAU2050'!$D$66*'BAU2050'!$Z$66/100+'BAU2050'!$D$67*'BAU2050'!$Z$67/100+'BAU2050'!$D$68*'BAU2050'!$Z$68/100</f>
        <v>0</v>
      </c>
      <c r="F29"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G29"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J29" s="288" t="s">
        <v>301</v>
      </c>
      <c r="K29" s="269">
        <f>'1990'!$AD$28</f>
        <v>0</v>
      </c>
      <c r="L29" s="269">
        <f>'2018'!$AD$28</f>
        <v>0</v>
      </c>
      <c r="M29" s="269">
        <f>'BAU2030'!$AD$28</f>
        <v>0</v>
      </c>
      <c r="N29" s="269">
        <f>'BAU2050'!$AD$28</f>
        <v>0</v>
      </c>
      <c r="O29" s="269" t="e">
        <f>#REF!</f>
        <v>#REF!</v>
      </c>
      <c r="P29" s="269" t="e">
        <f>#REF!</f>
        <v>#REF!</v>
      </c>
      <c r="S29" s="407" t="e">
        <f t="shared" si="10"/>
        <v>#REF!</v>
      </c>
      <c r="T29" s="407" t="e">
        <f t="shared" si="11"/>
        <v>#REF!</v>
      </c>
    </row>
    <row r="30" spans="1:20">
      <c r="A30" s="303" t="s">
        <v>199</v>
      </c>
      <c r="B30" s="370">
        <f>'1990'!$I$33*'1990'!$Z$33/100+'1990'!$I$34*'1990'!$Z$34/100+'1990'!$I$35*'1990'!$Z$35/100+'1990'!$I$36*'1990'!$Z$36/100+'1990'!$I$39*'1990'!$Z$39/100+'1990'!$I$40*'1990'!$Z$40/100+'1990'!$I$41*'1990'!$Z$41/100+'1990'!$I$42*'1990'!$Z$42/100+'1990'!$I$43*'1990'!$Z$43/100+'1990'!$I$44*'1990'!$Z$44/100+'1990'!$I$45*'1990'!$Z$45/100+'1990'!$I$46*'1990'!$Z$46/100+'1990'!$I$47*'1990'!$Z$47/100+'1990'!$I$48*'1990'!$Z$48/100+'1990'!$I$49*'1990'!$Z$49/100+'1990'!$I$50*'1990'!$Z$50/100+'1990'!$I$51*'1990'!$Z$51/100+'1990'!$I$52*'1990'!$Z$52/100+'1990'!$I$32*'1990'!$Z$32/100+'1990'!$I$53*'1990'!$Z$53/100+'1990'!$I$54*'1990'!$Z$54/100+'1990'!$I$55*'1990'!$Z$55/100+'1990'!$I$56*'1990'!$Z$56/100+'1990'!$I$57*'1990'!$Z$57/100+'1990'!$I$58*'1990'!$Z$58/100+'1990'!$I$59*'1990'!$Z$59/100+'1990'!$I$60*'1990'!$Z$60/100+'1990'!$I$61*'1990'!$Z$61/100+'1990'!$I$62*'1990'!$Z$62/100+'1990'!$I$63*'1990'!$Z$63/100+'1990'!$I$64*'1990'!$Z$64/100+'1990'!$I$65*'1990'!$Z$65/100+'1990'!$I$66*'1990'!$Z$66/100+'1990'!$I$67*'1990'!$Z$67/100+'1990'!$I$68*'1990'!$Z$68/100</f>
        <v>0</v>
      </c>
      <c r="C30" s="370">
        <f>'2018'!$I$33*'2018'!$Z$33/100+'2018'!$I$34*'2018'!$Z$34/100+'2018'!$I$35*'2018'!$Z$35/100+'2018'!$I$36*'2018'!$Z$36/100+'2018'!$I$39*'2018'!$Z$39/100+'2018'!$I$40*'2018'!$Z$40/100+'2018'!$I$41*'2018'!$Z$41/100+'2018'!$I$42*'2018'!$Z$42/100+'2018'!$I$43*'2018'!$Z$43/100+'2018'!$I$44*'2018'!$Z$44/100+'2018'!$I$45*'2018'!$Z$45/100+'2018'!$I$46*'2018'!$Z$46/100+'2018'!$I$47*'2018'!$Z$47/100+'2018'!$I$48*'2018'!$Z$48/100+'2018'!$I$49*'2018'!$Z$49/100+'2018'!$I$50*'2018'!$Z$50/100+'2018'!$I$51*'2018'!$Z$51/100+'2018'!$I$52*'2018'!$Z$52/100+'2018'!$I$32*'2018'!$Z$32/100+'2018'!$I$53*'2018'!$Z$53/100+'2018'!$I$54*'2018'!$Z$54/100+'2018'!$I$55*'2018'!$Z$55/100+'2018'!$I$56*'2018'!$Z$56/100+'2018'!$I$57*'2018'!$Z$57/100+'2018'!$I$58*'2018'!$Z$58/100+'2018'!$I$59*'2018'!$Z$59/100+'2018'!$I$60*'2018'!$Z$60/100+'2018'!$I$61*'2018'!$Z$61/100+'2018'!$I$62*'2018'!$Z$62/100+'2018'!$I$63*'2018'!$Z$63/100+'2018'!$I$64*'2018'!$Z$64/100+'2018'!$I$65*'2018'!$Z$65/100+'2018'!$I$66*'2018'!$Z$66/100+'2018'!$I$67*'2018'!$Z$67/100+'2018'!$I$68*'2018'!$Z$68/100</f>
        <v>39.7256</v>
      </c>
      <c r="D30" s="370">
        <f>'BAU2030'!$I$33*'BAU2030'!$Z$33/100+'BAU2030'!$I$34*'BAU2030'!$Z$34/100+'BAU2030'!$I$35*'BAU2030'!$Z$35/100+'BAU2030'!$I$36*'BAU2030'!$Z$36/100+'BAU2030'!$I$39*'BAU2030'!$Z$39/100+'BAU2030'!$I$40*'BAU2030'!$Z$40/100+'BAU2030'!$I$41*'BAU2030'!$Z$41/100+'BAU2030'!$I$42*'BAU2030'!$Z$42/100+'BAU2030'!$I$43*'BAU2030'!$Z$43/100+'BAU2030'!$I$44*'BAU2030'!$Z$44/100+'BAU2030'!$I$45*'BAU2030'!$Z$45/100+'BAU2030'!$I$46*'BAU2030'!$Z$46/100+'BAU2030'!$I$47*'BAU2030'!$Z$47/100+'BAU2030'!$I$48*'BAU2030'!$Z$48/100+'BAU2030'!$I$49*'BAU2030'!$Z$49/100+'BAU2030'!$I$50*'BAU2030'!$Z$50/100+'BAU2030'!$I$51*'BAU2030'!$Z$51/100+'BAU2030'!$I$52*'BAU2030'!$Z$52/100+'BAU2030'!$I$32*'BAU2030'!$Z$32/100+'BAU2030'!$I$53*'BAU2030'!$Z$53/100+'BAU2030'!$I$54*'BAU2030'!$Z$54/100+'BAU2030'!$I$55*'BAU2030'!$Z$55/100+'BAU2030'!$I$56*'BAU2030'!$Z$56/100+'BAU2030'!$I$57*'BAU2030'!$Z$57/100+'BAU2030'!$I$58*'BAU2030'!$Z$58/100+'BAU2030'!$I$59*'BAU2030'!$Z$59/100+'BAU2030'!$I$60*'BAU2030'!$Z$60/100+'BAU2030'!$I$61*'BAU2030'!$Z$61/100+'BAU2030'!$I$62*'BAU2030'!$Z$62/100+'BAU2030'!$I$63*'BAU2030'!$Z$63/100+'BAU2030'!$I$64*'BAU2030'!$Z$64/100+'BAU2030'!$I$65*'BAU2030'!$Z$65/100+'BAU2030'!$I$66*'BAU2030'!$Z$66/100+'BAU2030'!$I$67*'BAU2030'!$Z$67/100+'BAU2030'!$I$68*'BAU2030'!$Z$68/100</f>
        <v>13.805740799999999</v>
      </c>
      <c r="E30" s="370">
        <f>'BAU2050'!$I$33*'BAU2050'!$Z$33/100+'BAU2050'!$I$34*'BAU2050'!$Z$34/100+'BAU2050'!$I$35*'BAU2050'!$Z$35/100+'BAU2050'!$I$36*'BAU2050'!$Z$36/100+'BAU2050'!$I$39*'BAU2050'!$Z$39/100+'BAU2050'!$I$40*'BAU2050'!$Z$40/100+'BAU2050'!$I$41*'BAU2050'!$Z$41/100+'BAU2050'!$I$42*'BAU2050'!$Z$42/100+'BAU2050'!$I$43*'BAU2050'!$Z$43/100+'BAU2050'!$I$44*'BAU2050'!$Z$44/100+'BAU2050'!$I$45*'BAU2050'!$Z$45/100+'BAU2050'!$I$46*'BAU2050'!$Z$46/100+'BAU2050'!$I$47*'BAU2050'!$Z$47/100+'BAU2050'!$I$48*'BAU2050'!$Z$48/100+'BAU2050'!$I$49*'BAU2050'!$Z$49/100+'BAU2050'!$I$50*'BAU2050'!$Z$50/100+'BAU2050'!$I$51*'BAU2050'!$Z$51/100+'BAU2050'!$I$52*'BAU2050'!$Z$52/100+'BAU2050'!$I$32*'BAU2050'!$Z$32/100+'BAU2050'!$I$53*'BAU2050'!$Z$53/100+'BAU2050'!$I$54*'BAU2050'!$Z$54/100+'BAU2050'!$I$55*'BAU2050'!$Z$55/100+'BAU2050'!$I$56*'BAU2050'!$Z$56/100+'BAU2050'!$I$57*'BAU2050'!$Z$57/100+'BAU2050'!$I$58*'BAU2050'!$Z$58/100+'BAU2050'!$I$59*'BAU2050'!$Z$59/100+'BAU2050'!$I$60*'BAU2050'!$Z$60/100+'BAU2050'!$I$61*'BAU2050'!$Z$61/100+'BAU2050'!$I$62*'BAU2050'!$Z$62/100+'BAU2050'!$I$63*'BAU2050'!$Z$63/100+'BAU2050'!$I$64*'BAU2050'!$Z$64/100+'BAU2050'!$I$65*'BAU2050'!$Z$65/100+'BAU2050'!$I$66*'BAU2050'!$Z$66/100+'BAU2050'!$I$67*'BAU2050'!$Z$67/100+'BAU2050'!$I$68*'BAU2050'!$Z$68/100</f>
        <v>12.942882000000003</v>
      </c>
      <c r="F30"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G30"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J30" s="288" t="s">
        <v>198</v>
      </c>
      <c r="K30" s="269">
        <f>'1990'!$AD$26+'1990'!$AD$29+'1990'!$AD$30</f>
        <v>0</v>
      </c>
      <c r="L30" s="269">
        <f>'2018'!$AD$26+'2018'!$AD$29+'2018'!$AD$30</f>
        <v>42</v>
      </c>
      <c r="M30" s="269">
        <f>'BAU2030'!$AD$26+'BAU2030'!$AD$29+'BAU2030'!$AD$30</f>
        <v>195</v>
      </c>
      <c r="N30" s="269">
        <f>'BAU2050'!$AD$26+'BAU2050'!$AD$29+'BAU2050'!$AD$30</f>
        <v>195</v>
      </c>
      <c r="O30" s="269" t="e">
        <f>#REF!+#REF!+#REF!</f>
        <v>#REF!</v>
      </c>
      <c r="P30" s="269" t="e">
        <f>#REF!+#REF!+#REF!</f>
        <v>#REF!</v>
      </c>
      <c r="S30" s="407" t="e">
        <f t="shared" si="10"/>
        <v>#REF!</v>
      </c>
      <c r="T30" s="407" t="e">
        <f t="shared" si="11"/>
        <v>#REF!</v>
      </c>
    </row>
    <row r="31" spans="1:20">
      <c r="A31" s="288" t="s">
        <v>138</v>
      </c>
      <c r="B31" s="370">
        <f>'1990'!$W$33*'1990'!$Z$33/100+'1990'!$W$34*'1990'!$Z$34/100+'1990'!$W$35*'1990'!$Z$35/100+'1990'!$W$36*'1990'!$Z$36/100+'1990'!$W$39*'1990'!$Z$39/100+'1990'!$W$40*'1990'!$Z$40/100+'1990'!$W$41*'1990'!$Z$41/100+'1990'!$W$42*'1990'!$Z$42/100+'1990'!$W$43*'1990'!$Z$43/100+'1990'!$W$44*'1990'!$Z$44/100+'1990'!$W$45*'1990'!$Z$45/100+'1990'!$W$46*'1990'!$Z$46/100+'1990'!$W$47*'1990'!$Z$47/100+'1990'!$W$48*'1990'!$Z$48/100+'1990'!$W$49*'1990'!$Z$49/100+'1990'!$W$50*'1990'!$Z$50/100+'1990'!$W$51*'1990'!$Z$51/100+'1990'!$W$52*'1990'!$Z$52/100+'1990'!$W$32*'1990'!$Z$32/100+'1990'!$W$53*'1990'!$Z$53/100+'1990'!$W$54*'1990'!$Z$54/100+'1990'!$W$55*'1990'!$Z$55/100+'1990'!$W$56*'1990'!$Z$56/100+'1990'!$W$57*'1990'!$Z$57/100+'1990'!$W$58*'1990'!$Z$58/100+'1990'!$W$59*'1990'!$Z$59/100+'1990'!$W$60*'1990'!$Z$60/100+'1990'!$W$61*'1990'!$Z$61/100+'1990'!$W$62*'1990'!$Z$62/100+'1990'!$W$63*'1990'!$Z$63/100+'1990'!$W$64*'1990'!$Z$64/100+'1990'!$W$65*'1990'!$Z$65/100+'1990'!$W$66*'1990'!$Z$66/100+'1990'!$W$67*'1990'!$Z$67/100+'1990'!$W$68*'1990'!$Z$68/100</f>
        <v>0</v>
      </c>
      <c r="C31" s="370">
        <f>'2018'!$W$33*'2018'!$Z$33/100+'2018'!$W$34*'2018'!$Z$34/100+'2018'!$W$35*'2018'!$Z$35/100+'2018'!$W$36*'2018'!$Z$36/100+'2018'!$W$39*'2018'!$Z$39/100+'2018'!$W$40*'2018'!$Z$40/100+'2018'!$W$41*'2018'!$Z$41/100+'2018'!$W$42*'2018'!$Z$42/100+'2018'!$W$43*'2018'!$Z$43/100+'2018'!$W$44*'2018'!$Z$44/100+'2018'!$W$45*'2018'!$Z$45/100+'2018'!$W$46*'2018'!$Z$46/100+'2018'!$W$47*'2018'!$Z$47/100+'2018'!$W$48*'2018'!$Z$48/100+'2018'!$W$49*'2018'!$Z$49/100+'2018'!$W$50*'2018'!$Z$50/100+'2018'!$W$51*'2018'!$Z$51/100+'2018'!$W$52*'2018'!$Z$52/100+'2018'!$W$32*'2018'!$Z$32/100+'2018'!$W$53*'2018'!$Z$53/100+'2018'!$W$54*'2018'!$Z$54/100+'2018'!$W$55*'2018'!$Z$55/100+'2018'!$W$56*'2018'!$Z$56/100+'2018'!$W$57*'2018'!$Z$57/100+'2018'!$W$58*'2018'!$Z$58/100+'2018'!$W$59*'2018'!$Z$59/100+'2018'!$W$60*'2018'!$Z$60/100+'2018'!$W$61*'2018'!$Z$61/100+'2018'!$W$62*'2018'!$Z$62/100+'2018'!$W$63*'2018'!$Z$63/100+'2018'!$W$64*'2018'!$Z$64/100+'2018'!$W$65*'2018'!$Z$65/100+'2018'!$W$66*'2018'!$Z$66/100+'2018'!$W$67*'2018'!$Z$67/100+'2018'!$W$68*'2018'!$Z$68/100</f>
        <v>0</v>
      </c>
      <c r="D31" s="370">
        <f>'BAU2030'!$W$33*'BAU2030'!$Z$33/100+'BAU2030'!$W$34*'BAU2030'!$Z$34/100+'BAU2030'!$W$35*'BAU2030'!$Z$35/100+'BAU2030'!$W$36*'BAU2030'!$Z$36/100+'BAU2030'!$W$39*'BAU2030'!$Z$39/100+'BAU2030'!$W$40*'BAU2030'!$Z$40/100+'BAU2030'!$W$41*'BAU2030'!$Z$41/100+'BAU2030'!$W$42*'BAU2030'!$Z$42/100+'BAU2030'!$W$43*'BAU2030'!$Z$43/100+'BAU2030'!$W$44*'BAU2030'!$Z$44/100+'BAU2030'!$W$45*'BAU2030'!$Z$45/100+'BAU2030'!$W$46*'BAU2030'!$Z$46/100+'BAU2030'!$W$47*'BAU2030'!$Z$47/100+'BAU2030'!$W$48*'BAU2030'!$Z$48/100+'BAU2030'!$W$49*'BAU2030'!$Z$49/100+'BAU2030'!$W$50*'BAU2030'!$Z$50/100+'BAU2030'!$W$51*'BAU2030'!$Z$51/100+'BAU2030'!$W$52*'BAU2030'!$Z$52/100+'BAU2030'!$W$32*'BAU2030'!$Z$32/100+'BAU2030'!$W$53*'BAU2030'!$Z$53/100+'BAU2030'!$W$54*'BAU2030'!$Z$54/100+'BAU2030'!$W$55*'BAU2030'!$Z$55/100+'BAU2030'!$W$56*'BAU2030'!$Z$56/100+'BAU2030'!$W$57*'BAU2030'!$Z$57/100+'BAU2030'!$W$58*'BAU2030'!$Z$58/100+'BAU2030'!$W$59*'BAU2030'!$Z$59/100+'BAU2030'!$W$60*'BAU2030'!$Z$60/100+'BAU2030'!$W$61*'BAU2030'!$Z$61/100+'BAU2030'!$W$62*'BAU2030'!$Z$62/100+'BAU2030'!$W$63*'BAU2030'!$Z$63/100+'BAU2030'!$W$64*'BAU2030'!$Z$64/100+'BAU2030'!$W$65*'BAU2030'!$Z$65/100+'BAU2030'!$W$66*'BAU2030'!$Z$66/100+'BAU2030'!$W$67*'BAU2030'!$Z$67/100+'BAU2030'!$W$68*'BAU2030'!$Z$68/100</f>
        <v>0</v>
      </c>
      <c r="E31" s="370">
        <f>'BAU2050'!$W$33*'BAU2050'!$Z$33/100+'BAU2050'!$W$34*'BAU2050'!$Z$34/100+'BAU2050'!$W$35*'BAU2050'!$Z$35/100+'BAU2050'!$W$36*'BAU2050'!$Z$36/100+'BAU2050'!$W$39*'BAU2050'!$Z$39/100+'BAU2050'!$W$40*'BAU2050'!$Z$40/100+'BAU2050'!$W$41*'BAU2050'!$Z$41/100+'BAU2050'!$W$42*'BAU2050'!$Z$42/100+'BAU2050'!$W$43*'BAU2050'!$Z$43/100+'BAU2050'!$W$44*'BAU2050'!$Z$44/100+'BAU2050'!$W$45*'BAU2050'!$Z$45/100+'BAU2050'!$W$46*'BAU2050'!$Z$46/100+'BAU2050'!$W$47*'BAU2050'!$Z$47/100+'BAU2050'!$W$48*'BAU2050'!$Z$48/100+'BAU2050'!$W$49*'BAU2050'!$Z$49/100+'BAU2050'!$W$50*'BAU2050'!$Z$50/100+'BAU2050'!$W$51*'BAU2050'!$Z$51/100+'BAU2050'!$W$52*'BAU2050'!$Z$52/100+'BAU2050'!$W$32*'BAU2050'!$Z$32/100+'BAU2050'!$W$53*'BAU2050'!$Z$53/100+'BAU2050'!$W$54*'BAU2050'!$Z$54/100+'BAU2050'!$W$55*'BAU2050'!$Z$55/100+'BAU2050'!$W$56*'BAU2050'!$Z$56/100+'BAU2050'!$W$57*'BAU2050'!$Z$57/100+'BAU2050'!$W$58*'BAU2050'!$Z$58/100+'BAU2050'!$W$59*'BAU2050'!$Z$59/100+'BAU2050'!$W$60*'BAU2050'!$Z$60/100+'BAU2050'!$W$61*'BAU2050'!$Z$61/100+'BAU2050'!$W$62*'BAU2050'!$Z$62/100+'BAU2050'!$W$63*'BAU2050'!$Z$63/100+'BAU2050'!$W$64*'BAU2050'!$Z$64/100+'BAU2050'!$W$65*'BAU2050'!$Z$65/100+'BAU2050'!$W$66*'BAU2050'!$Z$66/100+'BAU2050'!$W$67*'BAU2050'!$Z$67/100+'BAU2050'!$W$68*'BAU2050'!$Z$68/100</f>
        <v>0</v>
      </c>
      <c r="F31"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G31"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J31" s="288" t="s">
        <v>157</v>
      </c>
      <c r="K31" s="269">
        <f>'1990'!$AD$15</f>
        <v>927.241061863901</v>
      </c>
      <c r="L31" s="269">
        <f>'2018'!$AD$15</f>
        <v>-130.94872402022855</v>
      </c>
      <c r="M31" s="269">
        <f>'BAU2030'!$AD$15</f>
        <v>-988.62884322060302</v>
      </c>
      <c r="N31" s="269">
        <f>'BAU2050'!$AD$15</f>
        <v>-474.44595351550436</v>
      </c>
      <c r="O31" s="269" t="e">
        <f>#REF!</f>
        <v>#REF!</v>
      </c>
      <c r="P31" s="269" t="e">
        <f>#REF!</f>
        <v>#REF!</v>
      </c>
      <c r="S31" s="407" t="e">
        <f t="shared" si="10"/>
        <v>#REF!</v>
      </c>
      <c r="T31" s="407" t="e">
        <f>O31/$O$32</f>
        <v>#REF!</v>
      </c>
    </row>
    <row r="32" spans="1:20">
      <c r="A32" s="288" t="s">
        <v>140</v>
      </c>
      <c r="B32" s="370">
        <f>'1990'!$U$33*'1990'!$Z$33/100+'1990'!$U$34*'1990'!$Z$34/100+'1990'!$U$35*'1990'!$Z$35/100+'1990'!$U$36*'1990'!$Z$36/100+'1990'!$U$39*'1990'!$Z$39/100+'1990'!$U$40*'1990'!$Z$40/100+'1990'!$U$41*'1990'!$Z$41/100+'1990'!$U$42*'1990'!$Z$42/100+'1990'!$U$43*'1990'!$Z$43/100+'1990'!$U$44*'1990'!$Z$44/100+'1990'!$U$45*'1990'!$Z$45/100+'1990'!$U$46*'1990'!$Z$46/100+'1990'!$U$47*'1990'!$Z$47/100+'1990'!$U$48*'1990'!$Z$48/100+'1990'!$U$49*'1990'!$Z$49/100+'1990'!$U$50*'1990'!$Z$50/100+'1990'!$U$51*'1990'!$Z$51/100+'1990'!$U$52*'1990'!$Z$52/100+'1990'!$U$32*'1990'!$Z$32/100+'1990'!$U$53*'1990'!$Z$53/100+'1990'!$U$54*'1990'!$Z$54/100+'1990'!$U$55*'1990'!$Z$55/100+'1990'!$U$56*'1990'!$Z$56/100+'1990'!$U$57*'1990'!$Z$57/100+'1990'!$U$58*'1990'!$Z$58/100+'1990'!$U$59*'1990'!$Z$59/100+'1990'!$U$60*'1990'!$Z$60/100+'1990'!$U$61*'1990'!$Z$61/100+'1990'!$U$62*'1990'!$Z$62/100+'1990'!$U$63*'1990'!$Z$63/100+'1990'!$U$64*'1990'!$Z$64/100+'1990'!$U$65*'1990'!$Z$65/100+'1990'!$U$66*'1990'!$Z$66/100+'1990'!$U$67*'1990'!$Z$67/100+'1990'!$U$68*'1990'!$Z$68/100</f>
        <v>0</v>
      </c>
      <c r="C32" s="370">
        <f>'2018'!$U$33*'2018'!$Z$33/100+'2018'!$U$34*'2018'!$Z$34/100+'2018'!$U$35*'2018'!$Z$35/100+'2018'!$U$36*'2018'!$Z$36/100+'2018'!$U$39*'2018'!$Z$39/100+'2018'!$U$40*'2018'!$Z$40/100+'2018'!$U$41*'2018'!$Z$41/100+'2018'!$U$42*'2018'!$Z$42/100+'2018'!$U$43*'2018'!$Z$43/100+'2018'!$U$44*'2018'!$Z$44/100+'2018'!$U$45*'2018'!$Z$45/100+'2018'!$U$46*'2018'!$Z$46/100+'2018'!$U$47*'2018'!$Z$47/100+'2018'!$U$48*'2018'!$Z$48/100+'2018'!$U$49*'2018'!$Z$49/100+'2018'!$U$50*'2018'!$Z$50/100+'2018'!$U$51*'2018'!$Z$51/100+'2018'!$U$52*'2018'!$Z$52/100+'2018'!$U$32*'2018'!$Z$32/100+'2018'!$U$53*'2018'!$Z$53/100+'2018'!$U$54*'2018'!$Z$54/100+'2018'!$U$55*'2018'!$Z$55/100+'2018'!$U$56*'2018'!$Z$56/100+'2018'!$U$57*'2018'!$Z$57/100+'2018'!$U$58*'2018'!$Z$58/100+'2018'!$U$59*'2018'!$Z$59/100+'2018'!$U$60*'2018'!$Z$60/100+'2018'!$U$61*'2018'!$Z$61/100+'2018'!$U$62*'2018'!$Z$62/100+'2018'!$U$63*'2018'!$Z$63/100+'2018'!$U$64*'2018'!$Z$64/100+'2018'!$U$65*'2018'!$Z$65/100+'2018'!$U$66*'2018'!$Z$66/100+'2018'!$U$67*'2018'!$Z$67/100+'2018'!$U$68*'2018'!$Z$68/100</f>
        <v>0</v>
      </c>
      <c r="D32" s="370">
        <f>'BAU2030'!$U$33*'BAU2030'!$Z$33/100+'BAU2030'!$U$34*'BAU2030'!$Z$34/100+'BAU2030'!$U$35*'BAU2030'!$Z$35/100+'BAU2030'!$U$36*'BAU2030'!$Z$36/100+'BAU2030'!$U$39*'BAU2030'!$Z$39/100+'BAU2030'!$U$40*'BAU2030'!$Z$40/100+'BAU2030'!$U$41*'BAU2030'!$Z$41/100+'BAU2030'!$U$42*'BAU2030'!$Z$42/100+'BAU2030'!$U$43*'BAU2030'!$Z$43/100+'BAU2030'!$U$44*'BAU2030'!$Z$44/100+'BAU2030'!$U$45*'BAU2030'!$Z$45/100+'BAU2030'!$U$46*'BAU2030'!$Z$46/100+'BAU2030'!$U$47*'BAU2030'!$Z$47/100+'BAU2030'!$U$48*'BAU2030'!$Z$48/100+'BAU2030'!$U$49*'BAU2030'!$Z$49/100+'BAU2030'!$U$50*'BAU2030'!$Z$50/100+'BAU2030'!$U$51*'BAU2030'!$Z$51/100+'BAU2030'!$U$52*'BAU2030'!$Z$52/100+'BAU2030'!$U$32*'BAU2030'!$Z$32/100+'BAU2030'!$U$53*'BAU2030'!$Z$53/100+'BAU2030'!$U$54*'BAU2030'!$Z$54/100+'BAU2030'!$U$55*'BAU2030'!$Z$55/100+'BAU2030'!$U$56*'BAU2030'!$Z$56/100+'BAU2030'!$U$57*'BAU2030'!$Z$57/100+'BAU2030'!$U$58*'BAU2030'!$Z$58/100+'BAU2030'!$U$59*'BAU2030'!$Z$59/100+'BAU2030'!$U$60*'BAU2030'!$Z$60/100+'BAU2030'!$U$61*'BAU2030'!$Z$61/100+'BAU2030'!$U$62*'BAU2030'!$Z$62/100+'BAU2030'!$U$63*'BAU2030'!$Z$63/100+'BAU2030'!$U$64*'BAU2030'!$Z$64/100+'BAU2030'!$U$65*'BAU2030'!$Z$65/100+'BAU2030'!$U$66*'BAU2030'!$Z$66/100+'BAU2030'!$U$67*'BAU2030'!$Z$67/100+'BAU2030'!$U$68*'BAU2030'!$Z$68/100</f>
        <v>0</v>
      </c>
      <c r="E32" s="370">
        <f>'BAU2050'!$U$33*'BAU2050'!$Z$33/100+'BAU2050'!$U$34*'BAU2050'!$Z$34/100+'BAU2050'!$U$35*'BAU2050'!$Z$35/100+'BAU2050'!$U$36*'BAU2050'!$Z$36/100+'BAU2050'!$U$39*'BAU2050'!$Z$39/100+'BAU2050'!$U$40*'BAU2050'!$Z$40/100+'BAU2050'!$U$41*'BAU2050'!$Z$41/100+'BAU2050'!$U$42*'BAU2050'!$Z$42/100+'BAU2050'!$U$43*'BAU2050'!$Z$43/100+'BAU2050'!$U$44*'BAU2050'!$Z$44/100+'BAU2050'!$U$45*'BAU2050'!$Z$45/100+'BAU2050'!$U$46*'BAU2050'!$Z$46/100+'BAU2050'!$U$47*'BAU2050'!$Z$47/100+'BAU2050'!$U$48*'BAU2050'!$Z$48/100+'BAU2050'!$U$49*'BAU2050'!$Z$49/100+'BAU2050'!$U$50*'BAU2050'!$Z$50/100+'BAU2050'!$U$51*'BAU2050'!$Z$51/100+'BAU2050'!$U$52*'BAU2050'!$Z$52/100+'BAU2050'!$U$32*'BAU2050'!$Z$32/100+'BAU2050'!$U$53*'BAU2050'!$Z$53/100+'BAU2050'!$U$54*'BAU2050'!$Z$54/100+'BAU2050'!$U$55*'BAU2050'!$Z$55/100+'BAU2050'!$U$56*'BAU2050'!$Z$56/100+'BAU2050'!$U$57*'BAU2050'!$Z$57/100+'BAU2050'!$U$58*'BAU2050'!$Z$58/100+'BAU2050'!$U$59*'BAU2050'!$Z$59/100+'BAU2050'!$U$60*'BAU2050'!$Z$60/100+'BAU2050'!$U$61*'BAU2050'!$Z$61/100+'BAU2050'!$U$62*'BAU2050'!$Z$62/100+'BAU2050'!$U$63*'BAU2050'!$Z$63/100+'BAU2050'!$U$64*'BAU2050'!$Z$64/100+'BAU2050'!$U$65*'BAU2050'!$Z$65/100+'BAU2050'!$U$66*'BAU2050'!$Z$66/100+'BAU2050'!$U$67*'BAU2050'!$Z$67/100+'BAU2050'!$U$68*'BAU2050'!$Z$68/100</f>
        <v>0</v>
      </c>
      <c r="F32"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G32"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J32" s="392" t="s">
        <v>147</v>
      </c>
      <c r="K32" s="406">
        <f>SUM(K27:K31)</f>
        <v>1378.4609691239009</v>
      </c>
      <c r="L32" s="406">
        <f t="shared" ref="L32:P32" si="12">SUM(L27:L31)</f>
        <v>1658.9091759797714</v>
      </c>
      <c r="M32" s="406">
        <f t="shared" si="12"/>
        <v>1894.3679055793973</v>
      </c>
      <c r="N32" s="406">
        <f t="shared" si="12"/>
        <v>2377.7759984844956</v>
      </c>
      <c r="O32" s="406" t="e">
        <f t="shared" si="12"/>
        <v>#REF!</v>
      </c>
      <c r="P32" s="406" t="e">
        <f t="shared" si="12"/>
        <v>#REF!</v>
      </c>
      <c r="S32" s="408" t="e">
        <f t="shared" si="10"/>
        <v>#REF!</v>
      </c>
      <c r="T32" s="408" t="e">
        <f>O32/$O$32</f>
        <v>#REF!</v>
      </c>
    </row>
    <row r="33" spans="1:12">
      <c r="A33" s="288" t="s">
        <v>141</v>
      </c>
      <c r="B33" s="370">
        <f>'1990'!$P$33*'1990'!$Z$33/100+'1990'!$P$34*'1990'!$Z$34/100+'1990'!$P$35*'1990'!$Z$35/100+'1990'!$P$36*'1990'!$Z$36/100+'1990'!$P$39*'1990'!$Z$39/100+'1990'!$P$40*'1990'!$Z$40/100+'1990'!$P$41*'1990'!$Z$41/100+'1990'!$P$42*'1990'!$Z$42/100+'1990'!$P$43*'1990'!$Z$43/100+'1990'!$P$44*'1990'!$Z$44/100+'1990'!$P$45*'1990'!$Z$45/100+'1990'!$P$46*'1990'!$Z$46/100+'1990'!$P$47*'1990'!$Z$47/100+'1990'!$P$48*'1990'!$Z$48/100+'1990'!$P$49*'1990'!$Z$49/100+'1990'!$P$50*'1990'!$Z$50/100+'1990'!$P$51*'1990'!$Z$51/100+'1990'!$P$52*'1990'!$Z$52/100+'1990'!$P$32*'1990'!$Z$32/100+'1990'!$P$53*'1990'!$Z$53/100+'1990'!$P$54*'1990'!$Z$54/100+'1990'!$P$55*'1990'!$Z$55/100+'1990'!$P$56*'1990'!$Z$56/100+'1990'!$P$57*'1990'!$Z$57/100+'1990'!$P$58*'1990'!$Z$58/100+'1990'!$P$59*'1990'!$Z$59/100+'1990'!$P$60*'1990'!$Z$60/100+'1990'!$P$61*'1990'!$Z$61/100+'1990'!$P$62*'1990'!$Z$62/100+'1990'!$P$63*'1990'!$Z$63/100+'1990'!$P$64*'1990'!$Z$64/100+'1990'!$P$65*'1990'!$Z$65/100+'1990'!$P$66*'1990'!$Z$66/100+'1990'!$P$67*'1990'!$Z$67/100+'1990'!$P$68*'1990'!$Z$68/100+'1990'!$Q$33*'1990'!$Z$33/100+'1990'!$Q$34*'1990'!$Z$34/100+'1990'!$Q$35*'1990'!$Z$35/100+'1990'!$Q$36*'1990'!$Z$36/100+'1990'!$Q$39*'1990'!$Z$39/100+'1990'!$Q$40*'1990'!$Z$40/100+'1990'!$Q$41*'1990'!$Z$41/100+'1990'!$Q$42*'1990'!$Z$42/100+'1990'!$Q$43*'1990'!$Z$43/100+'1990'!$Q$44*'1990'!$Z$44/100+'1990'!$Q$45*'1990'!$Z$45/100+'1990'!$Q$46*'1990'!$Z$46/100+'1990'!$Q$47*'1990'!$Z$47/100+'1990'!$Q$48*'1990'!$Z$48/100+'1990'!$Q$49*'1990'!$Z$49/100+'1990'!$Q$50*'1990'!$Z$50/100+'1990'!$Q$51*'1990'!$Z$51/100+'1990'!$Q$52*'1990'!$Z$52/100+'1990'!$Q$32*'1990'!$Z$32/100+'1990'!$Q$53*'1990'!$Z$53/100+'1990'!$Q$54*'1990'!$Z$54/100+'1990'!$Q$55*'1990'!$Z$55/100+'1990'!$Q$56*'1990'!$Z$56/100+'1990'!$Q$57*'1990'!$Z$57/100+'1990'!$Q$58*'1990'!$Z$58/100+'1990'!$Q$59*'1990'!$Z$59/100+'1990'!$Q$60*'1990'!$Z$60/100+'1990'!$Q$61*'1990'!$Z$61/100+'1990'!$Q$62*'1990'!$Z$62/100+'1990'!$Q$63*'1990'!$Z$63/100+'1990'!$Q$64*'1990'!$Z$64/100+'1990'!$Q$65*'1990'!$Z$65/100+'1990'!$Q$66*'1990'!$Z$66/100+'1990'!$Q$67*'1990'!$Z$67/100+'1990'!$Q$68*'1990'!$Z$68/100+'1990'!$R$33*'1990'!$Z$33/100+'1990'!$R$34*'1990'!$Z$34/100+'1990'!$R$35*'1990'!$Z$35/100+'1990'!$R$36*'1990'!$Z$36/100+'1990'!$R$39*'1990'!$Z$39/100+'1990'!$R$40*'1990'!$Z$40/100+'1990'!$R$41*'1990'!$Z$41/100+'1990'!$R$42*'1990'!$Z$42/100+'1990'!$R$43*'1990'!$Z$43/100+'1990'!$R$44*'1990'!$Z$44/100+'1990'!$R$45*'1990'!$Z$45/100+'1990'!$R$46*'1990'!$Z$46/100+'1990'!$R$47*'1990'!$Z$47/100+'1990'!$R$48*'1990'!$Z$48/100+'1990'!$R$49*'1990'!$Z$49/100+'1990'!$R$50*'1990'!$Z$50/100+'1990'!$R$51*'1990'!$Z$51/100+'1990'!$R$52*'1990'!$Z$52/100+'1990'!$R$32*'1990'!$Z$32/100+'1990'!$R$53*'1990'!$Z$53/100+'1990'!$R$54*'1990'!$Z$54/100+'1990'!$R$55*'1990'!$Z$55/100+'1990'!$R$56*'1990'!$Z$56/100+'1990'!$R$57*'1990'!$Z$57/100+'1990'!$R$58*'1990'!$Z$58/100+'1990'!$R$59*'1990'!$Z$59/100+'1990'!$R$60*'1990'!$Z$60/100+'1990'!$R$61*'1990'!$Z$61/100+'1990'!$R$62*'1990'!$Z$62/100+'1990'!$R$63*'1990'!$Z$63/100+'1990'!$R$64*'1990'!$Z$64/100+'1990'!$R$65*'1990'!$Z$65/100+'1990'!$R$66*'1990'!$Z$66/100+'1990'!$R$67*'1990'!$Z$67/100+'1990'!$R$68*'1990'!$Z$68/100+'1990'!$S$33*'1990'!$Z$33/100+'1990'!$S$34*'1990'!$Z$34/100+'1990'!$S$35*'1990'!$Z$35/100+'1990'!$S$36*'1990'!$Z$36/100+'1990'!$S$39*'1990'!$Z$39/100+'1990'!$S$40*'1990'!$Z$40/100+'1990'!$S$41*'1990'!$Z$41/100+'1990'!$S$42*'1990'!$Z$42/100+'1990'!$S$43*'1990'!$Z$43/100+'1990'!$S$44*'1990'!$Z$44/100+'1990'!$S$45*'1990'!$Z$45/100+'1990'!$S$46*'1990'!$Z$46/100+'1990'!$S$47*'1990'!$Z$47/100+'1990'!$S$48*'1990'!$Z$48/100+'1990'!$S$49*'1990'!$Z$49/100+'1990'!$S$50*'1990'!$Z$50/100+'1990'!$S$51*'1990'!$Z$51/100+'1990'!$S$52*'1990'!$Z$52/100+'1990'!$S$32*'1990'!$Z$32/100+'1990'!$S$53*'1990'!$Z$53/100+'1990'!$S$54*'1990'!$Z$54/100+'1990'!$S$55*'1990'!$Z$55/100+'1990'!$S$56*'1990'!$Z$56/100+'1990'!$S$57*'1990'!$Z$57/100+'1990'!$S$58*'1990'!$Z$58/100+'1990'!$S$59*'1990'!$Z$59/100+'1990'!$S$60*'1990'!$Z$60/100+'1990'!$S$61*'1990'!$Z$61/100+'1990'!$S$62*'1990'!$Z$62/100+'1990'!$S$63*'1990'!$Z$63/100+'1990'!$S$64*'1990'!$Z$64/100+'1990'!$S$65*'1990'!$Z$65/100+'1990'!$S$66*'1990'!$Z$66/100+'1990'!$S$67*'1990'!$Z$67/100+'1990'!$S$68*'1990'!$Z$68/100</f>
        <v>0</v>
      </c>
      <c r="C33" s="370">
        <f>'2018'!$P$33*'2018'!$Z$33/100+'2018'!$P$34*'2018'!$Z$34/100+'2018'!$P$35*'2018'!$Z$35/100+'2018'!$P$36*'2018'!$Z$36/100+'2018'!$P$39*'2018'!$Z$39/100+'2018'!$P$40*'2018'!$Z$40/100+'2018'!$P$41*'2018'!$Z$41/100+'2018'!$P$42*'2018'!$Z$42/100+'2018'!$P$43*'2018'!$Z$43/100+'2018'!$P$44*'2018'!$Z$44/100+'2018'!$P$45*'2018'!$Z$45/100+'2018'!$P$46*'2018'!$Z$46/100+'2018'!$P$47*'2018'!$Z$47/100+'2018'!$P$48*'2018'!$Z$48/100+'2018'!$P$49*'2018'!$Z$49/100+'2018'!$P$50*'2018'!$Z$50/100+'2018'!$P$51*'2018'!$Z$51/100+'2018'!$P$52*'2018'!$Z$52/100+'2018'!$P$32*'2018'!$Z$32/100+'2018'!$P$53*'2018'!$Z$53/100+'2018'!$P$54*'2018'!$Z$54/100+'2018'!$P$55*'2018'!$Z$55/100+'2018'!$P$56*'2018'!$Z$56/100+'2018'!$P$57*'2018'!$Z$57/100+'2018'!$P$58*'2018'!$Z$58/100+'2018'!$P$59*'2018'!$Z$59/100+'2018'!$P$60*'2018'!$Z$60/100+'2018'!$P$61*'2018'!$Z$61/100+'2018'!$P$62*'2018'!$Z$62/100+'2018'!$P$63*'2018'!$Z$63/100+'2018'!$P$64*'2018'!$Z$64/100+'2018'!$P$65*'2018'!$Z$65/100+'2018'!$P$66*'2018'!$Z$66/100+'2018'!$P$67*'2018'!$Z$67/100+'2018'!$P$68*'2018'!$Z$68/100+'2018'!$Q$33*'2018'!$Z$33/100+'2018'!$Q$34*'2018'!$Z$34/100+'2018'!$Q$35*'2018'!$Z$35/100+'2018'!$Q$36*'2018'!$Z$36/100+'2018'!$Q$39*'2018'!$Z$39/100+'2018'!$Q$40*'2018'!$Z$40/100+'2018'!$Q$41*'2018'!$Z$41/100+'2018'!$Q$42*'2018'!$Z$42/100+'2018'!$Q$43*'2018'!$Z$43/100+'2018'!$Q$44*'2018'!$Z$44/100+'2018'!$Q$45*'2018'!$Z$45/100+'2018'!$Q$46*'2018'!$Z$46/100+'2018'!$Q$47*'2018'!$Z$47/100+'2018'!$Q$48*'2018'!$Z$48/100+'2018'!$Q$49*'2018'!$Z$49/100+'2018'!$Q$50*'2018'!$Z$50/100+'2018'!$Q$51*'2018'!$Z$51/100+'2018'!$Q$52*'2018'!$Z$52/100+'2018'!$Q$32*'2018'!$Z$32/100+'2018'!$Q$53*'2018'!$Z$53/100+'2018'!$Q$54*'2018'!$Z$54/100+'2018'!$Q$55*'2018'!$Z$55/100+'2018'!$Q$56*'2018'!$Z$56/100+'2018'!$Q$57*'2018'!$Z$57/100+'2018'!$Q$58*'2018'!$Z$58/100+'2018'!$Q$59*'2018'!$Z$59/100+'2018'!$Q$60*'2018'!$Z$60/100+'2018'!$Q$61*'2018'!$Z$61/100+'2018'!$Q$62*'2018'!$Z$62/100+'2018'!$Q$63*'2018'!$Z$63/100+'2018'!$Q$64*'2018'!$Z$64/100+'2018'!$Q$65*'2018'!$Z$65/100+'2018'!$Q$66*'2018'!$Z$66/100+'2018'!$Q$67*'2018'!$Z$67/100+'2018'!$Q$68*'2018'!$Z$68/100+'2018'!$R$33*'2018'!$Z$33/100+'2018'!$R$34*'2018'!$Z$34/100+'2018'!$R$35*'2018'!$Z$35/100+'2018'!$R$36*'2018'!$Z$36/100+'2018'!$R$39*'2018'!$Z$39/100+'2018'!$R$40*'2018'!$Z$40/100+'2018'!$R$41*'2018'!$Z$41/100+'2018'!$R$42*'2018'!$Z$42/100+'2018'!$R$43*'2018'!$Z$43/100+'2018'!$R$44*'2018'!$Z$44/100+'2018'!$R$45*'2018'!$Z$45/100+'2018'!$R$46*'2018'!$Z$46/100+'2018'!$R$47*'2018'!$Z$47/100+'2018'!$R$48*'2018'!$Z$48/100+'2018'!$R$49*'2018'!$Z$49/100+'2018'!$R$50*'2018'!$Z$50/100+'2018'!$R$51*'2018'!$Z$51/100+'2018'!$R$52*'2018'!$Z$52/100+'2018'!$R$32*'2018'!$Z$32/100+'2018'!$R$53*'2018'!$Z$53/100+'2018'!$R$54*'2018'!$Z$54/100+'2018'!$R$55*'2018'!$Z$55/100+'2018'!$R$56*'2018'!$Z$56/100+'2018'!$R$57*'2018'!$Z$57/100+'2018'!$R$58*'2018'!$Z$58/100+'2018'!$R$59*'2018'!$Z$59/100+'2018'!$R$60*'2018'!$Z$60/100+'2018'!$R$61*'2018'!$Z$61/100+'2018'!$R$62*'2018'!$Z$62/100+'2018'!$R$63*'2018'!$Z$63/100+'2018'!$R$64*'2018'!$Z$64/100+'2018'!$R$65*'2018'!$Z$65/100+'2018'!$R$66*'2018'!$Z$66/100+'2018'!$R$67*'2018'!$Z$67/100+'2018'!$R$68*'2018'!$Z$68/100+'2018'!$S$33*'2018'!$Z$33/100+'2018'!$S$34*'2018'!$Z$34/100+'2018'!$S$35*'2018'!$Z$35/100+'2018'!$S$36*'2018'!$Z$36/100+'2018'!$S$39*'2018'!$Z$39/100+'2018'!$S$40*'2018'!$Z$40/100+'2018'!$S$41*'2018'!$Z$41/100+'2018'!$S$42*'2018'!$Z$42/100+'2018'!$S$43*'2018'!$Z$43/100+'2018'!$S$44*'2018'!$Z$44/100+'2018'!$S$45*'2018'!$Z$45/100+'2018'!$S$46*'2018'!$Z$46/100+'2018'!$S$47*'2018'!$Z$47/100+'2018'!$S$48*'2018'!$Z$48/100+'2018'!$S$49*'2018'!$Z$49/100+'2018'!$S$50*'2018'!$Z$50/100+'2018'!$S$51*'2018'!$Z$51/100+'2018'!$S$52*'2018'!$Z$52/100+'2018'!$S$32*'2018'!$Z$32/100+'2018'!$S$53*'2018'!$Z$53/100+'2018'!$S$54*'2018'!$Z$54/100+'2018'!$S$55*'2018'!$Z$55/100+'2018'!$S$56*'2018'!$Z$56/100+'2018'!$S$57*'2018'!$Z$57/100+'2018'!$S$58*'2018'!$Z$58/100+'2018'!$S$59*'2018'!$Z$59/100+'2018'!$S$60*'2018'!$Z$60/100+'2018'!$S$61*'2018'!$Z$61/100+'2018'!$S$62*'2018'!$Z$62/100+'2018'!$S$63*'2018'!$Z$63/100+'2018'!$S$64*'2018'!$Z$64/100+'2018'!$S$65*'2018'!$Z$65/100+'2018'!$S$66*'2018'!$Z$66/100+'2018'!$S$67*'2018'!$Z$67/100+'2018'!$S$68*'2018'!$Z$68/100</f>
        <v>488.45160000000004</v>
      </c>
      <c r="D33" s="370">
        <f>'BAU2030'!$P$33*'BAU2030'!$Z$33/100+'BAU2030'!$P$34*'BAU2030'!$Z$34/100+'BAU2030'!$P$35*'BAU2030'!$Z$35/100+'BAU2030'!$P$36*'BAU2030'!$Z$36/100+'BAU2030'!$P$39*'BAU2030'!$Z$39/100+'BAU2030'!$P$40*'BAU2030'!$Z$40/100+'BAU2030'!$P$41*'BAU2030'!$Z$41/100+'BAU2030'!$P$42*'BAU2030'!$Z$42/100+'BAU2030'!$P$43*'BAU2030'!$Z$43/100+'BAU2030'!$P$44*'BAU2030'!$Z$44/100+'BAU2030'!$P$45*'BAU2030'!$Z$45/100+'BAU2030'!$P$46*'BAU2030'!$Z$46/100+'BAU2030'!$P$47*'BAU2030'!$Z$47/100+'BAU2030'!$P$48*'BAU2030'!$Z$48/100+'BAU2030'!$P$49*'BAU2030'!$Z$49/100+'BAU2030'!$P$50*'BAU2030'!$Z$50/100+'BAU2030'!$P$51*'BAU2030'!$Z$51/100+'BAU2030'!$P$52*'BAU2030'!$Z$52/100+'BAU2030'!$P$32*'BAU2030'!$Z$32/100+'BAU2030'!$P$53*'BAU2030'!$Z$53/100+'BAU2030'!$P$54*'BAU2030'!$Z$54/100+'BAU2030'!$P$55*'BAU2030'!$Z$55/100+'BAU2030'!$P$56*'BAU2030'!$Z$56/100+'BAU2030'!$P$57*'BAU2030'!$Z$57/100+'BAU2030'!$P$58*'BAU2030'!$Z$58/100+'BAU2030'!$P$59*'BAU2030'!$Z$59/100+'BAU2030'!$P$60*'BAU2030'!$Z$60/100+'BAU2030'!$P$61*'BAU2030'!$Z$61/100+'BAU2030'!$P$62*'BAU2030'!$Z$62/100+'BAU2030'!$P$63*'BAU2030'!$Z$63/100+'BAU2030'!$P$64*'BAU2030'!$Z$64/100+'BAU2030'!$P$65*'BAU2030'!$Z$65/100+'BAU2030'!$P$66*'BAU2030'!$Z$66/100+'BAU2030'!$P$67*'BAU2030'!$Z$67/100+'BAU2030'!$P$68*'BAU2030'!$Z$68/100+'BAU2030'!$Q$33*'BAU2030'!$Z$33/100+'BAU2030'!$Q$34*'BAU2030'!$Z$34/100+'BAU2030'!$Q$35*'BAU2030'!$Z$35/100+'BAU2030'!$Q$36*'BAU2030'!$Z$36/100+'BAU2030'!$Q$39*'BAU2030'!$Z$39/100+'BAU2030'!$Q$40*'BAU2030'!$Z$40/100+'BAU2030'!$Q$41*'BAU2030'!$Z$41/100+'BAU2030'!$Q$42*'BAU2030'!$Z$42/100+'BAU2030'!$Q$43*'BAU2030'!$Z$43/100+'BAU2030'!$Q$44*'BAU2030'!$Z$44/100+'BAU2030'!$Q$45*'BAU2030'!$Z$45/100+'BAU2030'!$Q$46*'BAU2030'!$Z$46/100+'BAU2030'!$Q$47*'BAU2030'!$Z$47/100+'BAU2030'!$Q$48*'BAU2030'!$Z$48/100+'BAU2030'!$Q$49*'BAU2030'!$Z$49/100+'BAU2030'!$Q$50*'BAU2030'!$Z$50/100+'BAU2030'!$Q$51*'BAU2030'!$Z$51/100+'BAU2030'!$Q$52*'BAU2030'!$Z$52/100+'BAU2030'!$Q$32*'BAU2030'!$Z$32/100+'BAU2030'!$Q$53*'BAU2030'!$Z$53/100+'BAU2030'!$Q$54*'BAU2030'!$Z$54/100+'BAU2030'!$Q$55*'BAU2030'!$Z$55/100+'BAU2030'!$Q$56*'BAU2030'!$Z$56/100+'BAU2030'!$Q$57*'BAU2030'!$Z$57/100+'BAU2030'!$Q$58*'BAU2030'!$Z$58/100+'BAU2030'!$Q$59*'BAU2030'!$Z$59/100+'BAU2030'!$Q$60*'BAU2030'!$Z$60/100+'BAU2030'!$Q$61*'BAU2030'!$Z$61/100+'BAU2030'!$Q$62*'BAU2030'!$Z$62/100+'BAU2030'!$Q$63*'BAU2030'!$Z$63/100+'BAU2030'!$Q$64*'BAU2030'!$Z$64/100+'BAU2030'!$Q$65*'BAU2030'!$Z$65/100+'BAU2030'!$Q$66*'BAU2030'!$Z$66/100+'BAU2030'!$Q$67*'BAU2030'!$Z$67/100+'BAU2030'!$Q$68*'BAU2030'!$Z$68/100+'BAU2030'!$R$33*'BAU2030'!$Z$33/100+'BAU2030'!$R$34*'BAU2030'!$Z$34/100+'BAU2030'!$R$35*'BAU2030'!$Z$35/100+'BAU2030'!$R$36*'BAU2030'!$Z$36/100+'BAU2030'!$R$39*'BAU2030'!$Z$39/100+'BAU2030'!$R$40*'BAU2030'!$Z$40/100+'BAU2030'!$R$41*'BAU2030'!$Z$41/100+'BAU2030'!$R$42*'BAU2030'!$Z$42/100+'BAU2030'!$R$43*'BAU2030'!$Z$43/100+'BAU2030'!$R$44*'BAU2030'!$Z$44/100+'BAU2030'!$R$45*'BAU2030'!$Z$45/100+'BAU2030'!$R$46*'BAU2030'!$Z$46/100+'BAU2030'!$R$47*'BAU2030'!$Z$47/100+'BAU2030'!$R$48*'BAU2030'!$Z$48/100+'BAU2030'!$R$49*'BAU2030'!$Z$49/100+'BAU2030'!$R$50*'BAU2030'!$Z$50/100+'BAU2030'!$R$51*'BAU2030'!$Z$51/100+'BAU2030'!$R$52*'BAU2030'!$Z$52/100+'BAU2030'!$R$32*'BAU2030'!$Z$32/100+'BAU2030'!$R$53*'BAU2030'!$Z$53/100+'BAU2030'!$R$54*'BAU2030'!$Z$54/100+'BAU2030'!$R$55*'BAU2030'!$Z$55/100+'BAU2030'!$R$56*'BAU2030'!$Z$56/100+'BAU2030'!$R$57*'BAU2030'!$Z$57/100+'BAU2030'!$R$58*'BAU2030'!$Z$58/100+'BAU2030'!$R$59*'BAU2030'!$Z$59/100+'BAU2030'!$R$60*'BAU2030'!$Z$60/100+'BAU2030'!$R$61*'BAU2030'!$Z$61/100+'BAU2030'!$R$62*'BAU2030'!$Z$62/100+'BAU2030'!$R$63*'BAU2030'!$Z$63/100+'BAU2030'!$R$64*'BAU2030'!$Z$64/100+'BAU2030'!$R$65*'BAU2030'!$Z$65/100+'BAU2030'!$R$66*'BAU2030'!$Z$66/100+'BAU2030'!$R$67*'BAU2030'!$Z$67/100+'BAU2030'!$R$68*'BAU2030'!$Z$68/100+'BAU2030'!$S$33*'BAU2030'!$Z$33/100+'BAU2030'!$S$34*'BAU2030'!$Z$34/100+'BAU2030'!$S$35*'BAU2030'!$Z$35/100+'BAU2030'!$S$36*'BAU2030'!$Z$36/100+'BAU2030'!$S$39*'BAU2030'!$Z$39/100+'BAU2030'!$S$40*'BAU2030'!$Z$40/100+'BAU2030'!$S$41*'BAU2030'!$Z$41/100+'BAU2030'!$S$42*'BAU2030'!$Z$42/100+'BAU2030'!$S$43*'BAU2030'!$Z$43/100+'BAU2030'!$S$44*'BAU2030'!$Z$44/100+'BAU2030'!$S$45*'BAU2030'!$Z$45/100+'BAU2030'!$S$46*'BAU2030'!$Z$46/100+'BAU2030'!$S$47*'BAU2030'!$Z$47/100+'BAU2030'!$S$48*'BAU2030'!$Z$48/100+'BAU2030'!$S$49*'BAU2030'!$Z$49/100+'BAU2030'!$S$50*'BAU2030'!$Z$50/100+'BAU2030'!$S$51*'BAU2030'!$Z$51/100+'BAU2030'!$S$52*'BAU2030'!$Z$52/100+'BAU2030'!$S$32*'BAU2030'!$Z$32/100+'BAU2030'!$S$53*'BAU2030'!$Z$53/100+'BAU2030'!$S$54*'BAU2030'!$Z$54/100+'BAU2030'!$S$55*'BAU2030'!$Z$55/100+'BAU2030'!$S$56*'BAU2030'!$Z$56/100+'BAU2030'!$S$57*'BAU2030'!$Z$57/100+'BAU2030'!$S$58*'BAU2030'!$Z$58/100+'BAU2030'!$S$59*'BAU2030'!$Z$59/100+'BAU2030'!$S$60*'BAU2030'!$Z$60/100+'BAU2030'!$S$61*'BAU2030'!$Z$61/100+'BAU2030'!$S$62*'BAU2030'!$Z$62/100+'BAU2030'!$S$63*'BAU2030'!$Z$63/100+'BAU2030'!$S$64*'BAU2030'!$Z$64/100+'BAU2030'!$S$65*'BAU2030'!$Z$65/100+'BAU2030'!$S$66*'BAU2030'!$Z$66/100+'BAU2030'!$S$67*'BAU2030'!$Z$67/100+'BAU2030'!$S$68*'BAU2030'!$Z$68/100</f>
        <v>468.91353600000008</v>
      </c>
      <c r="E33" s="370">
        <f>'BAU2050'!$P$33*'BAU2050'!$Z$33/100+'BAU2050'!$P$34*'BAU2050'!$Z$34/100+'BAU2050'!$P$35*'BAU2050'!$Z$35/100+'BAU2050'!$P$36*'BAU2050'!$Z$36/100+'BAU2050'!$P$39*'BAU2050'!$Z$39/100+'BAU2050'!$P$40*'BAU2050'!$Z$40/100+'BAU2050'!$P$41*'BAU2050'!$Z$41/100+'BAU2050'!$P$42*'BAU2050'!$Z$42/100+'BAU2050'!$P$43*'BAU2050'!$Z$43/100+'BAU2050'!$P$44*'BAU2050'!$Z$44/100+'BAU2050'!$P$45*'BAU2050'!$Z$45/100+'BAU2050'!$P$46*'BAU2050'!$Z$46/100+'BAU2050'!$P$47*'BAU2050'!$Z$47/100+'BAU2050'!$P$48*'BAU2050'!$Z$48/100+'BAU2050'!$P$49*'BAU2050'!$Z$49/100+'BAU2050'!$P$50*'BAU2050'!$Z$50/100+'BAU2050'!$P$51*'BAU2050'!$Z$51/100+'BAU2050'!$P$52*'BAU2050'!$Z$52/100+'BAU2050'!$P$32*'BAU2050'!$Z$32/100+'BAU2050'!$P$53*'BAU2050'!$Z$53/100+'BAU2050'!$P$54*'BAU2050'!$Z$54/100+'BAU2050'!$P$55*'BAU2050'!$Z$55/100+'BAU2050'!$P$56*'BAU2050'!$Z$56/100+'BAU2050'!$P$57*'BAU2050'!$Z$57/100+'BAU2050'!$P$58*'BAU2050'!$Z$58/100+'BAU2050'!$P$59*'BAU2050'!$Z$59/100+'BAU2050'!$P$60*'BAU2050'!$Z$60/100+'BAU2050'!$P$61*'BAU2050'!$Z$61/100+'BAU2050'!$P$62*'BAU2050'!$Z$62/100+'BAU2050'!$P$63*'BAU2050'!$Z$63/100+'BAU2050'!$P$64*'BAU2050'!$Z$64/100+'BAU2050'!$P$65*'BAU2050'!$Z$65/100+'BAU2050'!$P$66*'BAU2050'!$Z$66/100+'BAU2050'!$P$67*'BAU2050'!$Z$67/100+'BAU2050'!$P$68*'BAU2050'!$Z$68/100+'BAU2050'!$Q$33*'BAU2050'!$Z$33/100+'BAU2050'!$Q$34*'BAU2050'!$Z$34/100+'BAU2050'!$Q$35*'BAU2050'!$Z$35/100+'BAU2050'!$Q$36*'BAU2050'!$Z$36/100+'BAU2050'!$Q$39*'BAU2050'!$Z$39/100+'BAU2050'!$Q$40*'BAU2050'!$Z$40/100+'BAU2050'!$Q$41*'BAU2050'!$Z$41/100+'BAU2050'!$Q$42*'BAU2050'!$Z$42/100+'BAU2050'!$Q$43*'BAU2050'!$Z$43/100+'BAU2050'!$Q$44*'BAU2050'!$Z$44/100+'BAU2050'!$Q$45*'BAU2050'!$Z$45/100+'BAU2050'!$Q$46*'BAU2050'!$Z$46/100+'BAU2050'!$Q$47*'BAU2050'!$Z$47/100+'BAU2050'!$Q$48*'BAU2050'!$Z$48/100+'BAU2050'!$Q$49*'BAU2050'!$Z$49/100+'BAU2050'!$Q$50*'BAU2050'!$Z$50/100+'BAU2050'!$Q$51*'BAU2050'!$Z$51/100+'BAU2050'!$Q$52*'BAU2050'!$Z$52/100+'BAU2050'!$Q$32*'BAU2050'!$Z$32/100+'BAU2050'!$Q$53*'BAU2050'!$Z$53/100+'BAU2050'!$Q$54*'BAU2050'!$Z$54/100+'BAU2050'!$Q$55*'BAU2050'!$Z$55/100+'BAU2050'!$Q$56*'BAU2050'!$Z$56/100+'BAU2050'!$Q$57*'BAU2050'!$Z$57/100+'BAU2050'!$Q$58*'BAU2050'!$Z$58/100+'BAU2050'!$Q$59*'BAU2050'!$Z$59/100+'BAU2050'!$Q$60*'BAU2050'!$Z$60/100+'BAU2050'!$Q$61*'BAU2050'!$Z$61/100+'BAU2050'!$Q$62*'BAU2050'!$Z$62/100+'BAU2050'!$Q$63*'BAU2050'!$Z$63/100+'BAU2050'!$Q$64*'BAU2050'!$Z$64/100+'BAU2050'!$Q$65*'BAU2050'!$Z$65/100+'BAU2050'!$Q$66*'BAU2050'!$Z$66/100+'BAU2050'!$Q$67*'BAU2050'!$Z$67/100+'BAU2050'!$Q$68*'BAU2050'!$Z$68/100+'BAU2050'!$R$33*'BAU2050'!$Z$33/100+'BAU2050'!$R$34*'BAU2050'!$Z$34/100+'BAU2050'!$R$35*'BAU2050'!$Z$35/100+'BAU2050'!$R$36*'BAU2050'!$Z$36/100+'BAU2050'!$R$39*'BAU2050'!$Z$39/100+'BAU2050'!$R$40*'BAU2050'!$Z$40/100+'BAU2050'!$R$41*'BAU2050'!$Z$41/100+'BAU2050'!$R$42*'BAU2050'!$Z$42/100+'BAU2050'!$R$43*'BAU2050'!$Z$43/100+'BAU2050'!$R$44*'BAU2050'!$Z$44/100+'BAU2050'!$R$45*'BAU2050'!$Z$45/100+'BAU2050'!$R$46*'BAU2050'!$Z$46/100+'BAU2050'!$R$47*'BAU2050'!$Z$47/100+'BAU2050'!$R$48*'BAU2050'!$Z$48/100+'BAU2050'!$R$49*'BAU2050'!$Z$49/100+'BAU2050'!$R$50*'BAU2050'!$Z$50/100+'BAU2050'!$R$51*'BAU2050'!$Z$51/100+'BAU2050'!$R$52*'BAU2050'!$Z$52/100+'BAU2050'!$R$32*'BAU2050'!$Z$32/100+'BAU2050'!$R$53*'BAU2050'!$Z$53/100+'BAU2050'!$R$54*'BAU2050'!$Z$54/100+'BAU2050'!$R$55*'BAU2050'!$Z$55/100+'BAU2050'!$R$56*'BAU2050'!$Z$56/100+'BAU2050'!$R$57*'BAU2050'!$Z$57/100+'BAU2050'!$R$58*'BAU2050'!$Z$58/100+'BAU2050'!$R$59*'BAU2050'!$Z$59/100+'BAU2050'!$R$60*'BAU2050'!$Z$60/100+'BAU2050'!$R$61*'BAU2050'!$Z$61/100+'BAU2050'!$R$62*'BAU2050'!$Z$62/100+'BAU2050'!$R$63*'BAU2050'!$Z$63/100+'BAU2050'!$R$64*'BAU2050'!$Z$64/100+'BAU2050'!$R$65*'BAU2050'!$Z$65/100+'BAU2050'!$R$66*'BAU2050'!$Z$66/100+'BAU2050'!$R$67*'BAU2050'!$Z$67/100+'BAU2050'!$R$68*'BAU2050'!$Z$68/100+'BAU2050'!$S$33*'BAU2050'!$Z$33/100+'BAU2050'!$S$34*'BAU2050'!$Z$34/100+'BAU2050'!$S$35*'BAU2050'!$Z$35/100+'BAU2050'!$S$36*'BAU2050'!$Z$36/100+'BAU2050'!$S$39*'BAU2050'!$Z$39/100+'BAU2050'!$S$40*'BAU2050'!$Z$40/100+'BAU2050'!$S$41*'BAU2050'!$Z$41/100+'BAU2050'!$S$42*'BAU2050'!$Z$42/100+'BAU2050'!$S$43*'BAU2050'!$Z$43/100+'BAU2050'!$S$44*'BAU2050'!$Z$44/100+'BAU2050'!$S$45*'BAU2050'!$Z$45/100+'BAU2050'!$S$46*'BAU2050'!$Z$46/100+'BAU2050'!$S$47*'BAU2050'!$Z$47/100+'BAU2050'!$S$48*'BAU2050'!$Z$48/100+'BAU2050'!$S$49*'BAU2050'!$Z$49/100+'BAU2050'!$S$50*'BAU2050'!$Z$50/100+'BAU2050'!$S$51*'BAU2050'!$Z$51/100+'BAU2050'!$S$52*'BAU2050'!$Z$52/100+'BAU2050'!$S$32*'BAU2050'!$Z$32/100+'BAU2050'!$S$53*'BAU2050'!$Z$53/100+'BAU2050'!$S$54*'BAU2050'!$Z$54/100+'BAU2050'!$S$55*'BAU2050'!$Z$55/100+'BAU2050'!$S$56*'BAU2050'!$Z$56/100+'BAU2050'!$S$57*'BAU2050'!$Z$57/100+'BAU2050'!$S$58*'BAU2050'!$Z$58/100+'BAU2050'!$S$59*'BAU2050'!$Z$59/100+'BAU2050'!$S$60*'BAU2050'!$Z$60/100+'BAU2050'!$S$61*'BAU2050'!$Z$61/100+'BAU2050'!$S$62*'BAU2050'!$Z$62/100+'BAU2050'!$S$63*'BAU2050'!$Z$63/100+'BAU2050'!$S$64*'BAU2050'!$Z$64/100+'BAU2050'!$S$65*'BAU2050'!$Z$65/100+'BAU2050'!$S$66*'BAU2050'!$Z$66/100+'BAU2050'!$S$67*'BAU2050'!$Z$67/100+'BAU2050'!$S$68*'BAU2050'!$Z$68/100</f>
        <v>439.60644000000008</v>
      </c>
      <c r="F33"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G33"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row>
    <row r="34" spans="1:12">
      <c r="A34" s="288" t="s">
        <v>142</v>
      </c>
      <c r="B34" s="370">
        <f>SUM('1990'!$J$27:$J$28)</f>
        <v>14.45</v>
      </c>
      <c r="C34" s="370">
        <f>SUM('2018'!$J$27:$J$28)</f>
        <v>1209.5999999999999</v>
      </c>
      <c r="D34" s="370">
        <f>SUM('BAU2030'!$J$27:$J$28)</f>
        <v>2195.6</v>
      </c>
      <c r="E34" s="370">
        <f>SUM('BAU2050'!$J$27:$J$28)</f>
        <v>2195.6</v>
      </c>
      <c r="F34" s="370" t="e">
        <f>SUM(#REF!)</f>
        <v>#REF!</v>
      </c>
      <c r="G34" s="370" t="e">
        <f>SUM(#REF!)</f>
        <v>#REF!</v>
      </c>
    </row>
    <row r="35" spans="1:12">
      <c r="A35" s="288" t="s">
        <v>143</v>
      </c>
      <c r="B35" s="370">
        <f>'1990'!$O$33*'1990'!$Z$33/100+'1990'!$O$34*'1990'!$Z$34/100+'1990'!$O$35*'1990'!$Z$35/100+'1990'!$O$36*'1990'!$Z$36/100+'1990'!$O$39*'1990'!$Z$39/100+'1990'!$O$40*'1990'!$Z$40/100+'1990'!$O$41*'1990'!$Z$41/100+'1990'!$O$42*'1990'!$Z$42/100+'1990'!$O$43*'1990'!$Z$43/100+'1990'!$O$44*'1990'!$Z$44/100+'1990'!$O$45*'1990'!$Z$45/100+'1990'!$O$46*'1990'!$Z$46/100+'1990'!$O$47*'1990'!$Z$47/100+'1990'!$O$48*'1990'!$Z$48/100+'1990'!$O$49*'1990'!$Z$49/100+'1990'!$O$50*'1990'!$Z$50/100+'1990'!$O$51*'1990'!$Z$51/100+'1990'!$O$52*'1990'!$Z$52/100+'1990'!$O$32*'1990'!$Z$32/100+'1990'!$O$53*'1990'!$Z$53/100+'1990'!$O$54*'1990'!$Z$54/100+'1990'!$O$55*'1990'!$Z$55/100+'1990'!$O$56*'1990'!$Z$56/100+'1990'!$O$57*'1990'!$Z$57/100+'1990'!$O$58*'1990'!$Z$58/100+'1990'!$O$59*'1990'!$Z$59/100+'1990'!$O$60*'1990'!$Z$60/100+'1990'!$O$61*'1990'!$Z$61/100+'1990'!$O$62*'1990'!$Z$62/100+'1990'!$O$63*'1990'!$Z$63/100+'1990'!$O$64*'1990'!$Z$64/100+'1990'!$O$65*'1990'!$Z$65/100+'1990'!$O$66*'1990'!$Z$66/100+'1990'!$O$67*'1990'!$Z$67/100+'1990'!$O$68*'1990'!$Z$68/100+'1990'!$T$33*'1990'!$Z$33/100+'1990'!$T$34*'1990'!$Z$34/100+'1990'!$T$35*'1990'!$Z$35/100+'1990'!$T$36*'1990'!$Z$36/100+'1990'!$T$39*'1990'!$Z$39/100+'1990'!$T$40*'1990'!$Z$40/100+'1990'!$T$41*'1990'!$Z$41/100+'1990'!$T$42*'1990'!$Z$42/100+'1990'!$T$43*'1990'!$Z$43/100+'1990'!$T$44*'1990'!$Z$44/100+'1990'!$T$45*'1990'!$Z$45/100+'1990'!$T$46*'1990'!$Z$46/100+'1990'!$T$47*'1990'!$Z$47/100+'1990'!$T$48*'1990'!$Z$48/100+'1990'!$T$49*'1990'!$Z$49/100+'1990'!$T$50*'1990'!$Z$50/100+'1990'!$T$51*'1990'!$Z$51/100+'1990'!$T$52*'1990'!$Z$52/100+'1990'!$T$32*'1990'!$Z$32/100+'1990'!$T$53*'1990'!$Z$53/100+'1990'!$T$54*'1990'!$Z$54/100+'1990'!$T$55*'1990'!$Z$55/100+'1990'!$T$56*'1990'!$Z$56/100+'1990'!$T$57*'1990'!$Z$57/100+'1990'!$T$58*'1990'!$Z$58/100+'1990'!$T$59*'1990'!$Z$59/100+'1990'!$T$60*'1990'!$Z$60/100+'1990'!$T$61*'1990'!$Z$61/100+'1990'!$T$62*'1990'!$Z$62/100+'1990'!$T$63*'1990'!$Z$63/100+'1990'!$T$64*'1990'!$Z$64/100+'1990'!$T$65*'1990'!$Z$65/100+'1990'!$T$66*'1990'!$Z$66/100+'1990'!$T$67*'1990'!$Z$67/100+'1990'!$T$68*'1990'!$Z$68/100+'1990'!$V$33*'1990'!$Z$33/100+'1990'!$V$34*'1990'!$Z$34/100+'1990'!$V$35*'1990'!$Z$35/100+'1990'!$V$36*'1990'!$Z$36/100+'1990'!$V$39*'1990'!$Z$39/100+'1990'!$V$40*'1990'!$Z$40/100+'1990'!$V$41*'1990'!$Z$41/100+'1990'!$V$42*'1990'!$Z$42/100+'1990'!$V$43*'1990'!$Z$43/100+'1990'!$V$44*'1990'!$Z$44/100+'1990'!$V$45*'1990'!$Z$45/100+'1990'!$V$46*'1990'!$Z$46/100+'1990'!$V$47*'1990'!$Z$47/100+'1990'!$V$48*'1990'!$Z$48/100+'1990'!$V$49*'1990'!$Z$49/100+'1990'!$V$50*'1990'!$Z$50/100+'1990'!$V$51*'1990'!$Z$51/100+'1990'!$V$52*'1990'!$Z$52/100+'1990'!$V$32*'1990'!$Z$32/100+'1990'!$V$53*'1990'!$Z$53/100+'1990'!$V$54*'1990'!$Z$54/100+'1990'!$V$55*'1990'!$Z$55/100+'1990'!$V$56*'1990'!$Z$56/100+'1990'!$V$57*'1990'!$Z$57/100+'1990'!$V$58*'1990'!$Z$58/100+'1990'!$V$59*'1990'!$Z$59/100+'1990'!$V$60*'1990'!$Z$60/100+'1990'!$V$61*'1990'!$Z$61/100+'1990'!$V$62*'1990'!$Z$62/100+'1990'!$V$63*'1990'!$Z$63/100+'1990'!$V$64*'1990'!$Z$64/100+'1990'!$V$65*'1990'!$Z$65/100+'1990'!$V$66*'1990'!$Z$66/100+'1990'!$V$67*'1990'!$Z$67/100+'1990'!$V$68*'1990'!$Z$68/100</f>
        <v>8.0460272600000007</v>
      </c>
      <c r="C35" s="370">
        <f>'2018'!$O$33*'2018'!$Z$33/100+'2018'!$O$34*'2018'!$Z$34/100+'2018'!$O$35*'2018'!$Z$35/100+'2018'!$O$36*'2018'!$Z$36/100+'2018'!$O$39*'2018'!$Z$39/100+'2018'!$O$40*'2018'!$Z$40/100+'2018'!$O$41*'2018'!$Z$41/100+'2018'!$O$42*'2018'!$Z$42/100+'2018'!$O$43*'2018'!$Z$43/100+'2018'!$O$44*'2018'!$Z$44/100+'2018'!$O$45*'2018'!$Z$45/100+'2018'!$O$46*'2018'!$Z$46/100+'2018'!$O$47*'2018'!$Z$47/100+'2018'!$O$48*'2018'!$Z$48/100+'2018'!$O$49*'2018'!$Z$49/100+'2018'!$O$50*'2018'!$Z$50/100+'2018'!$O$51*'2018'!$Z$51/100+'2018'!$O$52*'2018'!$Z$52/100+'2018'!$O$32*'2018'!$Z$32/100+'2018'!$O$53*'2018'!$Z$53/100+'2018'!$O$54*'2018'!$Z$54/100+'2018'!$O$55*'2018'!$Z$55/100+'2018'!$O$56*'2018'!$Z$56/100+'2018'!$O$57*'2018'!$Z$57/100+'2018'!$O$58*'2018'!$Z$58/100+'2018'!$O$59*'2018'!$Z$59/100+'2018'!$O$60*'2018'!$Z$60/100+'2018'!$O$61*'2018'!$Z$61/100+'2018'!$O$62*'2018'!$Z$62/100+'2018'!$O$63*'2018'!$Z$63/100+'2018'!$O$64*'2018'!$Z$64/100+'2018'!$O$65*'2018'!$Z$65/100+'2018'!$O$66*'2018'!$Z$66/100+'2018'!$O$67*'2018'!$Z$67/100+'2018'!$O$68*'2018'!$Z$68/100+'2018'!$T$33*'2018'!$Z$33/100+'2018'!$T$34*'2018'!$Z$34/100+'2018'!$T$35*'2018'!$Z$35/100+'2018'!$T$36*'2018'!$Z$36/100+'2018'!$T$39*'2018'!$Z$39/100+'2018'!$T$40*'2018'!$Z$40/100+'2018'!$T$41*'2018'!$Z$41/100+'2018'!$T$42*'2018'!$Z$42/100+'2018'!$T$43*'2018'!$Z$43/100+'2018'!$T$44*'2018'!$Z$44/100+'2018'!$T$45*'2018'!$Z$45/100+'2018'!$T$46*'2018'!$Z$46/100+'2018'!$T$47*'2018'!$Z$47/100+'2018'!$T$48*'2018'!$Z$48/100+'2018'!$T$49*'2018'!$Z$49/100+'2018'!$T$50*'2018'!$Z$50/100+'2018'!$T$51*'2018'!$Z$51/100+'2018'!$T$52*'2018'!$Z$52/100+'2018'!$T$32*'2018'!$Z$32/100+'2018'!$T$53*'2018'!$Z$53/100+'2018'!$T$54*'2018'!$Z$54/100+'2018'!$T$55*'2018'!$Z$55/100+'2018'!$T$56*'2018'!$Z$56/100+'2018'!$T$57*'2018'!$Z$57/100+'2018'!$T$58*'2018'!$Z$58/100+'2018'!$T$59*'2018'!$Z$59/100+'2018'!$T$60*'2018'!$Z$60/100+'2018'!$T$61*'2018'!$Z$61/100+'2018'!$T$62*'2018'!$Z$62/100+'2018'!$T$63*'2018'!$Z$63/100+'2018'!$T$64*'2018'!$Z$64/100+'2018'!$T$65*'2018'!$Z$65/100+'2018'!$T$66*'2018'!$Z$66/100+'2018'!$T$67*'2018'!$Z$67/100+'2018'!$T$68*'2018'!$Z$68/100+'2018'!$V$33*'2018'!$Z$33/100+'2018'!$V$34*'2018'!$Z$34/100+'2018'!$V$35*'2018'!$Z$35/100+'2018'!$V$36*'2018'!$Z$36/100+'2018'!$V$39*'2018'!$Z$39/100+'2018'!$V$40*'2018'!$Z$40/100+'2018'!$V$41*'2018'!$Z$41/100+'2018'!$V$42*'2018'!$Z$42/100+'2018'!$V$43*'2018'!$Z$43/100+'2018'!$V$44*'2018'!$Z$44/100+'2018'!$V$45*'2018'!$Z$45/100+'2018'!$V$46*'2018'!$Z$46/100+'2018'!$V$47*'2018'!$Z$47/100+'2018'!$V$48*'2018'!$Z$48/100+'2018'!$V$49*'2018'!$Z$49/100+'2018'!$V$50*'2018'!$Z$50/100+'2018'!$V$51*'2018'!$Z$51/100+'2018'!$V$52*'2018'!$Z$52/100+'2018'!$V$32*'2018'!$Z$32/100+'2018'!$V$53*'2018'!$Z$53/100+'2018'!$V$54*'2018'!$Z$54/100+'2018'!$V$55*'2018'!$Z$55/100+'2018'!$V$56*'2018'!$Z$56/100+'2018'!$V$57*'2018'!$Z$57/100+'2018'!$V$58*'2018'!$Z$58/100+'2018'!$V$59*'2018'!$Z$59/100+'2018'!$V$60*'2018'!$Z$60/100+'2018'!$V$61*'2018'!$Z$61/100+'2018'!$V$62*'2018'!$Z$62/100+'2018'!$V$63*'2018'!$Z$63/100+'2018'!$V$64*'2018'!$Z$64/100+'2018'!$V$65*'2018'!$Z$65/100+'2018'!$V$66*'2018'!$Z$66/100+'2018'!$V$67*'2018'!$Z$67/100+'2018'!$V$68*'2018'!$Z$68/100</f>
        <v>8.2578999999999994</v>
      </c>
      <c r="D35" s="370">
        <f>'BAU2030'!$O$33*'BAU2030'!$Z$33/100+'BAU2030'!$O$34*'BAU2030'!$Z$34/100+'BAU2030'!$O$35*'BAU2030'!$Z$35/100+'BAU2030'!$O$36*'BAU2030'!$Z$36/100+'BAU2030'!$O$39*'BAU2030'!$Z$39/100+'BAU2030'!$O$40*'BAU2030'!$Z$40/100+'BAU2030'!$O$41*'BAU2030'!$Z$41/100+'BAU2030'!$O$42*'BAU2030'!$Z$42/100+'BAU2030'!$O$43*'BAU2030'!$Z$43/100+'BAU2030'!$O$44*'BAU2030'!$Z$44/100+'BAU2030'!$O$45*'BAU2030'!$Z$45/100+'BAU2030'!$O$46*'BAU2030'!$Z$46/100+'BAU2030'!$O$47*'BAU2030'!$Z$47/100+'BAU2030'!$O$48*'BAU2030'!$Z$48/100+'BAU2030'!$O$49*'BAU2030'!$Z$49/100+'BAU2030'!$O$50*'BAU2030'!$Z$50/100+'BAU2030'!$O$51*'BAU2030'!$Z$51/100+'BAU2030'!$O$52*'BAU2030'!$Z$52/100+'BAU2030'!$O$32*'BAU2030'!$Z$32/100+'BAU2030'!$O$53*'BAU2030'!$Z$53/100+'BAU2030'!$O$54*'BAU2030'!$Z$54/100+'BAU2030'!$O$55*'BAU2030'!$Z$55/100+'BAU2030'!$O$56*'BAU2030'!$Z$56/100+'BAU2030'!$O$57*'BAU2030'!$Z$57/100+'BAU2030'!$O$58*'BAU2030'!$Z$58/100+'BAU2030'!$O$59*'BAU2030'!$Z$59/100+'BAU2030'!$O$60*'BAU2030'!$Z$60/100+'BAU2030'!$O$61*'BAU2030'!$Z$61/100+'BAU2030'!$O$62*'BAU2030'!$Z$62/100+'BAU2030'!$O$63*'BAU2030'!$Z$63/100+'BAU2030'!$O$64*'BAU2030'!$Z$64/100+'BAU2030'!$O$65*'BAU2030'!$Z$65/100+'BAU2030'!$O$66*'BAU2030'!$Z$66/100+'BAU2030'!$O$67*'BAU2030'!$Z$67/100+'BAU2030'!$O$68*'BAU2030'!$Z$68/100+'BAU2030'!$T$33*'BAU2030'!$Z$33/100+'BAU2030'!$T$34*'BAU2030'!$Z$34/100+'BAU2030'!$T$35*'BAU2030'!$Z$35/100+'BAU2030'!$T$36*'BAU2030'!$Z$36/100+'BAU2030'!$T$39*'BAU2030'!$Z$39/100+'BAU2030'!$T$40*'BAU2030'!$Z$40/100+'BAU2030'!$T$41*'BAU2030'!$Z$41/100+'BAU2030'!$T$42*'BAU2030'!$Z$42/100+'BAU2030'!$T$43*'BAU2030'!$Z$43/100+'BAU2030'!$T$44*'BAU2030'!$Z$44/100+'BAU2030'!$T$45*'BAU2030'!$Z$45/100+'BAU2030'!$T$46*'BAU2030'!$Z$46/100+'BAU2030'!$T$47*'BAU2030'!$Z$47/100+'BAU2030'!$T$48*'BAU2030'!$Z$48/100+'BAU2030'!$T$49*'BAU2030'!$Z$49/100+'BAU2030'!$T$50*'BAU2030'!$Z$50/100+'BAU2030'!$T$51*'BAU2030'!$Z$51/100+'BAU2030'!$T$52*'BAU2030'!$Z$52/100+'BAU2030'!$T$32*'BAU2030'!$Z$32/100+'BAU2030'!$T$53*'BAU2030'!$Z$53/100+'BAU2030'!$T$54*'BAU2030'!$Z$54/100+'BAU2030'!$T$55*'BAU2030'!$Z$55/100+'BAU2030'!$T$56*'BAU2030'!$Z$56/100+'BAU2030'!$T$57*'BAU2030'!$Z$57/100+'BAU2030'!$T$58*'BAU2030'!$Z$58/100+'BAU2030'!$T$59*'BAU2030'!$Z$59/100+'BAU2030'!$T$60*'BAU2030'!$Z$60/100+'BAU2030'!$T$61*'BAU2030'!$Z$61/100+'BAU2030'!$T$62*'BAU2030'!$Z$62/100+'BAU2030'!$T$63*'BAU2030'!$Z$63/100+'BAU2030'!$T$64*'BAU2030'!$Z$64/100+'BAU2030'!$T$65*'BAU2030'!$Z$65/100+'BAU2030'!$T$66*'BAU2030'!$Z$66/100+'BAU2030'!$T$67*'BAU2030'!$Z$67/100+'BAU2030'!$T$68*'BAU2030'!$Z$68/100+'BAU2030'!$V$33*'BAU2030'!$Z$33/100+'BAU2030'!$V$34*'BAU2030'!$Z$34/100+'BAU2030'!$V$35*'BAU2030'!$Z$35/100+'BAU2030'!$V$36*'BAU2030'!$Z$36/100+'BAU2030'!$V$39*'BAU2030'!$Z$39/100+'BAU2030'!$V$40*'BAU2030'!$Z$40/100+'BAU2030'!$V$41*'BAU2030'!$Z$41/100+'BAU2030'!$V$42*'BAU2030'!$Z$42/100+'BAU2030'!$V$43*'BAU2030'!$Z$43/100+'BAU2030'!$V$44*'BAU2030'!$Z$44/100+'BAU2030'!$V$45*'BAU2030'!$Z$45/100+'BAU2030'!$V$46*'BAU2030'!$Z$46/100+'BAU2030'!$V$47*'BAU2030'!$Z$47/100+'BAU2030'!$V$48*'BAU2030'!$Z$48/100+'BAU2030'!$V$49*'BAU2030'!$Z$49/100+'BAU2030'!$V$50*'BAU2030'!$Z$50/100+'BAU2030'!$V$51*'BAU2030'!$Z$51/100+'BAU2030'!$V$52*'BAU2030'!$Z$52/100+'BAU2030'!$V$32*'BAU2030'!$Z$32/100+'BAU2030'!$V$53*'BAU2030'!$Z$53/100+'BAU2030'!$V$54*'BAU2030'!$Z$54/100+'BAU2030'!$V$55*'BAU2030'!$Z$55/100+'BAU2030'!$V$56*'BAU2030'!$Z$56/100+'BAU2030'!$V$57*'BAU2030'!$Z$57/100+'BAU2030'!$V$58*'BAU2030'!$Z$58/100+'BAU2030'!$V$59*'BAU2030'!$Z$59/100+'BAU2030'!$V$60*'BAU2030'!$Z$60/100+'BAU2030'!$V$61*'BAU2030'!$Z$61/100+'BAU2030'!$V$62*'BAU2030'!$Z$62/100+'BAU2030'!$V$63*'BAU2030'!$Z$63/100+'BAU2030'!$V$64*'BAU2030'!$Z$64/100+'BAU2030'!$V$65*'BAU2030'!$Z$65/100+'BAU2030'!$V$66*'BAU2030'!$Z$66/100+'BAU2030'!$V$67*'BAU2030'!$Z$67/100+'BAU2030'!$V$68*'BAU2030'!$Z$68/100</f>
        <v>7.9275840000000013</v>
      </c>
      <c r="E35" s="370">
        <f>'BAU2050'!$O$33*'BAU2050'!$Z$33/100+'BAU2050'!$O$34*'BAU2050'!$Z$34/100+'BAU2050'!$O$35*'BAU2050'!$Z$35/100+'BAU2050'!$O$36*'BAU2050'!$Z$36/100+'BAU2050'!$O$39*'BAU2050'!$Z$39/100+'BAU2050'!$O$40*'BAU2050'!$Z$40/100+'BAU2050'!$O$41*'BAU2050'!$Z$41/100+'BAU2050'!$O$42*'BAU2050'!$Z$42/100+'BAU2050'!$O$43*'BAU2050'!$Z$43/100+'BAU2050'!$O$44*'BAU2050'!$Z$44/100+'BAU2050'!$O$45*'BAU2050'!$Z$45/100+'BAU2050'!$O$46*'BAU2050'!$Z$46/100+'BAU2050'!$O$47*'BAU2050'!$Z$47/100+'BAU2050'!$O$48*'BAU2050'!$Z$48/100+'BAU2050'!$O$49*'BAU2050'!$Z$49/100+'BAU2050'!$O$50*'BAU2050'!$Z$50/100+'BAU2050'!$O$51*'BAU2050'!$Z$51/100+'BAU2050'!$O$52*'BAU2050'!$Z$52/100+'BAU2050'!$O$32*'BAU2050'!$Z$32/100+'BAU2050'!$O$53*'BAU2050'!$Z$53/100+'BAU2050'!$O$54*'BAU2050'!$Z$54/100+'BAU2050'!$O$55*'BAU2050'!$Z$55/100+'BAU2050'!$O$56*'BAU2050'!$Z$56/100+'BAU2050'!$O$57*'BAU2050'!$Z$57/100+'BAU2050'!$O$58*'BAU2050'!$Z$58/100+'BAU2050'!$O$59*'BAU2050'!$Z$59/100+'BAU2050'!$O$60*'BAU2050'!$Z$60/100+'BAU2050'!$O$61*'BAU2050'!$Z$61/100+'BAU2050'!$O$62*'BAU2050'!$Z$62/100+'BAU2050'!$O$63*'BAU2050'!$Z$63/100+'BAU2050'!$O$64*'BAU2050'!$Z$64/100+'BAU2050'!$O$65*'BAU2050'!$Z$65/100+'BAU2050'!$O$66*'BAU2050'!$Z$66/100+'BAU2050'!$O$67*'BAU2050'!$Z$67/100+'BAU2050'!$O$68*'BAU2050'!$Z$68/100+'BAU2050'!$T$33*'BAU2050'!$Z$33/100+'BAU2050'!$T$34*'BAU2050'!$Z$34/100+'BAU2050'!$T$35*'BAU2050'!$Z$35/100+'BAU2050'!$T$36*'BAU2050'!$Z$36/100+'BAU2050'!$T$39*'BAU2050'!$Z$39/100+'BAU2050'!$T$40*'BAU2050'!$Z$40/100+'BAU2050'!$T$41*'BAU2050'!$Z$41/100+'BAU2050'!$T$42*'BAU2050'!$Z$42/100+'BAU2050'!$T$43*'BAU2050'!$Z$43/100+'BAU2050'!$T$44*'BAU2050'!$Z$44/100+'BAU2050'!$T$45*'BAU2050'!$Z$45/100+'BAU2050'!$T$46*'BAU2050'!$Z$46/100+'BAU2050'!$T$47*'BAU2050'!$Z$47/100+'BAU2050'!$T$48*'BAU2050'!$Z$48/100+'BAU2050'!$T$49*'BAU2050'!$Z$49/100+'BAU2050'!$T$50*'BAU2050'!$Z$50/100+'BAU2050'!$T$51*'BAU2050'!$Z$51/100+'BAU2050'!$T$52*'BAU2050'!$Z$52/100+'BAU2050'!$T$32*'BAU2050'!$Z$32/100+'BAU2050'!$T$53*'BAU2050'!$Z$53/100+'BAU2050'!$T$54*'BAU2050'!$Z$54/100+'BAU2050'!$T$55*'BAU2050'!$Z$55/100+'BAU2050'!$T$56*'BAU2050'!$Z$56/100+'BAU2050'!$T$57*'BAU2050'!$Z$57/100+'BAU2050'!$T$58*'BAU2050'!$Z$58/100+'BAU2050'!$T$59*'BAU2050'!$Z$59/100+'BAU2050'!$T$60*'BAU2050'!$Z$60/100+'BAU2050'!$T$61*'BAU2050'!$Z$61/100+'BAU2050'!$T$62*'BAU2050'!$Z$62/100+'BAU2050'!$T$63*'BAU2050'!$Z$63/100+'BAU2050'!$T$64*'BAU2050'!$Z$64/100+'BAU2050'!$T$65*'BAU2050'!$Z$65/100+'BAU2050'!$T$66*'BAU2050'!$Z$66/100+'BAU2050'!$T$67*'BAU2050'!$Z$67/100+'BAU2050'!$T$68*'BAU2050'!$Z$68/100+'BAU2050'!$V$33*'BAU2050'!$Z$33/100+'BAU2050'!$V$34*'BAU2050'!$Z$34/100+'BAU2050'!$V$35*'BAU2050'!$Z$35/100+'BAU2050'!$V$36*'BAU2050'!$Z$36/100+'BAU2050'!$V$39*'BAU2050'!$Z$39/100+'BAU2050'!$V$40*'BAU2050'!$Z$40/100+'BAU2050'!$V$41*'BAU2050'!$Z$41/100+'BAU2050'!$V$42*'BAU2050'!$Z$42/100+'BAU2050'!$V$43*'BAU2050'!$Z$43/100+'BAU2050'!$V$44*'BAU2050'!$Z$44/100+'BAU2050'!$V$45*'BAU2050'!$Z$45/100+'BAU2050'!$V$46*'BAU2050'!$Z$46/100+'BAU2050'!$V$47*'BAU2050'!$Z$47/100+'BAU2050'!$V$48*'BAU2050'!$Z$48/100+'BAU2050'!$V$49*'BAU2050'!$Z$49/100+'BAU2050'!$V$50*'BAU2050'!$Z$50/100+'BAU2050'!$V$51*'BAU2050'!$Z$51/100+'BAU2050'!$V$52*'BAU2050'!$Z$52/100+'BAU2050'!$V$32*'BAU2050'!$Z$32/100+'BAU2050'!$V$53*'BAU2050'!$Z$53/100+'BAU2050'!$V$54*'BAU2050'!$Z$54/100+'BAU2050'!$V$55*'BAU2050'!$Z$55/100+'BAU2050'!$V$56*'BAU2050'!$Z$56/100+'BAU2050'!$V$57*'BAU2050'!$Z$57/100+'BAU2050'!$V$58*'BAU2050'!$Z$58/100+'BAU2050'!$V$59*'BAU2050'!$Z$59/100+'BAU2050'!$V$60*'BAU2050'!$Z$60/100+'BAU2050'!$V$61*'BAU2050'!$Z$61/100+'BAU2050'!$V$62*'BAU2050'!$Z$62/100+'BAU2050'!$V$63*'BAU2050'!$Z$63/100+'BAU2050'!$V$64*'BAU2050'!$Z$64/100+'BAU2050'!$V$65*'BAU2050'!$Z$65/100+'BAU2050'!$V$66*'BAU2050'!$Z$66/100+'BAU2050'!$V$67*'BAU2050'!$Z$67/100+'BAU2050'!$V$68*'BAU2050'!$Z$68/100</f>
        <v>7.4321099999999998</v>
      </c>
      <c r="F35"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c r="G35" s="370" t="e">
        <f>#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REF!*#REF!/100</f>
        <v>#REF!</v>
      </c>
    </row>
    <row r="36" spans="1:12">
      <c r="A36" s="288" t="s">
        <v>144</v>
      </c>
      <c r="B36" s="370">
        <f>'1990'!$L$26*'1990'!$Z$26/100</f>
        <v>0</v>
      </c>
      <c r="C36" s="370">
        <f>'2018'!$L$26*'2018'!$Z$26/100</f>
        <v>42</v>
      </c>
      <c r="D36" s="370">
        <f>'BAU2030'!$L$26*'BAU2030'!$Z$26/100</f>
        <v>195</v>
      </c>
      <c r="E36" s="370">
        <f>'BAU2050'!$L$26*'BAU2050'!$Z$26/100</f>
        <v>195</v>
      </c>
      <c r="F36" s="370" t="e">
        <f>#REF!*#REF!/100</f>
        <v>#REF!</v>
      </c>
      <c r="G36" s="370" t="e">
        <f>#REF!*#REF!/100</f>
        <v>#REF!</v>
      </c>
    </row>
    <row r="37" spans="1:12">
      <c r="A37" s="288" t="s">
        <v>200</v>
      </c>
      <c r="B37" s="370">
        <f>'1990'!$K$29</f>
        <v>0</v>
      </c>
      <c r="C37" s="370">
        <f>'2018'!$K$29</f>
        <v>0</v>
      </c>
      <c r="D37" s="370">
        <f>'BAU2030'!$K$29</f>
        <v>0</v>
      </c>
      <c r="E37" s="370">
        <f>'BAU2050'!$K$29</f>
        <v>0</v>
      </c>
      <c r="F37" s="370" t="e">
        <f>#REF!</f>
        <v>#REF!</v>
      </c>
      <c r="G37" s="370" t="e">
        <f>#REF!</f>
        <v>#REF!</v>
      </c>
    </row>
    <row r="38" spans="1:12">
      <c r="A38" s="288" t="s">
        <v>34</v>
      </c>
      <c r="B38" s="370">
        <f>'1990'!$AD$15</f>
        <v>927.241061863901</v>
      </c>
      <c r="C38" s="370">
        <f>'2018'!$AD$15</f>
        <v>-130.94872402022855</v>
      </c>
      <c r="D38" s="370">
        <f>'BAU2030'!$AD$15</f>
        <v>-988.62884322060302</v>
      </c>
      <c r="E38" s="370">
        <f>'BAU2050'!$AD$15</f>
        <v>-474.44595351550436</v>
      </c>
      <c r="F38" s="370" t="e">
        <f>#REF!</f>
        <v>#REF!</v>
      </c>
      <c r="G38" s="370" t="e">
        <f>#REF!</f>
        <v>#REF!</v>
      </c>
    </row>
    <row r="39" spans="1:12">
      <c r="A39" s="392" t="s">
        <v>147</v>
      </c>
      <c r="B39" s="393">
        <f>SUM(B27:B38)</f>
        <v>1378.4609691239011</v>
      </c>
      <c r="C39" s="393">
        <f t="shared" ref="C39:G39" si="13">SUM(C27:C38)</f>
        <v>1658.9091759797714</v>
      </c>
      <c r="D39" s="393">
        <f t="shared" si="13"/>
        <v>1894.3679055793973</v>
      </c>
      <c r="E39" s="393">
        <f t="shared" si="13"/>
        <v>2377.7759984844961</v>
      </c>
      <c r="F39" s="393" t="e">
        <f t="shared" si="13"/>
        <v>#REF!</v>
      </c>
      <c r="G39" s="393" t="e">
        <f t="shared" si="13"/>
        <v>#REF!</v>
      </c>
    </row>
    <row r="41" spans="1:12">
      <c r="A41" s="289" t="s">
        <v>286</v>
      </c>
    </row>
    <row r="42" spans="1:12">
      <c r="A42" s="288"/>
      <c r="B42" s="394">
        <v>1990</v>
      </c>
      <c r="C42" s="394">
        <v>2018</v>
      </c>
      <c r="D42" s="395" t="s">
        <v>223</v>
      </c>
      <c r="E42" s="394" t="s">
        <v>224</v>
      </c>
      <c r="F42" s="394" t="s">
        <v>279</v>
      </c>
      <c r="G42" s="394" t="s">
        <v>283</v>
      </c>
    </row>
    <row r="43" spans="1:12">
      <c r="A43" s="391" t="s">
        <v>193</v>
      </c>
      <c r="B43" s="370">
        <f>SUM('1990'!$AE$8:$AE$14)+'1990'!$AE$69+'1990'!$AE$78</f>
        <v>1276.5927035056447</v>
      </c>
      <c r="C43" s="370">
        <f>SUM('2018'!$AE$8:$AE$14)+'2018'!$AE$69+'2018'!$AE$78</f>
        <v>1523.7080781374202</v>
      </c>
      <c r="D43" s="370">
        <f>SUM('BAU2030'!$AE$8:$AE$14)+'BAU2030'!$AE$69+'BAU2030'!$AE$78</f>
        <v>1717.6389212746753</v>
      </c>
      <c r="E43" s="370">
        <f>SUM('BAU2050'!$AE$8:$AE$14)+'BAU2050'!$AE$69+'BAU2050'!$AE$78</f>
        <v>2161.649254608009</v>
      </c>
      <c r="F43" s="370" t="e">
        <f>SUM(#REF!)+#REF!+#REF!</f>
        <v>#REF!</v>
      </c>
      <c r="G43" s="370" t="e">
        <f>SUM(#REF!)+#REF!+#REF!</f>
        <v>#REF!</v>
      </c>
      <c r="L43" s="290"/>
    </row>
    <row r="44" spans="1:12">
      <c r="A44" s="391" t="s">
        <v>194</v>
      </c>
      <c r="B44" s="370">
        <f>-(SUM('1990'!$AD$8:$AD$14)+SUM('1990'!$AE$8:$AE$14))-('1990'!$AD$48+'1990'!$AE$48)-('1990'!$AD$49+'1990'!$AE$49)-('1990'!$AD$57+'1990'!$AE$57)-('1990'!$AD$58+'1990'!$AE$58)-('1990'!$AD$78+'1990'!$AE$78)</f>
        <v>101.86826561825615</v>
      </c>
      <c r="C44" s="370">
        <f>-(SUM('2018'!$AD$8:$AD$14)+SUM('2018'!$AE$8:$AE$14))-('2018'!$AD$48+'2018'!$AE$48)-('2018'!$AD$49+'2018'!$AE$49)-('2018'!$AD$57+'2018'!$AE$57)-('2018'!$AD$58+'2018'!$AE$58)-('2018'!$AD$78+'2018'!$AE$78)</f>
        <v>135.20109784235137</v>
      </c>
      <c r="D44" s="370">
        <f>-(SUM('BAU2030'!$AD$8:$AD$14)+SUM('BAU2030'!$AE$8:$AE$14))-('BAU2030'!$AD$48+'BAU2030'!$AE$48)-('BAU2030'!$AD$49+'BAU2030'!$AE$49)-('BAU2030'!$AD$57+'BAU2030'!$AE$57)-('BAU2030'!$AD$58+'BAU2030'!$AE$58)-('BAU2030'!$AD$78+'BAU2030'!$AE$78)</f>
        <v>154.39098430472086</v>
      </c>
      <c r="E44" s="370">
        <f>-(SUM('BAU2050'!$AD$8:$AD$14)+SUM('BAU2050'!$AE$8:$AE$14))-('BAU2050'!$AD$48+'BAU2050'!$AE$48)-('BAU2050'!$AD$49+'BAU2050'!$AE$49)-('BAU2050'!$AD$57+'BAU2050'!$AE$57)-('BAU2050'!$AD$58+'BAU2050'!$AE$58)-('BAU2050'!$AD$78+'BAU2050'!$AE$78)</f>
        <v>193.78874387648625</v>
      </c>
      <c r="F44" s="370" t="e">
        <f>-(SUM(#REF!)+SUM(#REF!))-(#REF!+#REF!)-(#REF!+#REF!)-(#REF!+#REF!)-(#REF!+#REF!)-(#REF!+#REF!)</f>
        <v>#REF!</v>
      </c>
      <c r="G44" s="370" t="e">
        <f>-(SUM(#REF!)+SUM(#REF!))-(#REF!+#REF!)-(#REF!+#REF!)-(#REF!+#REF!)-(#REF!+#REF!)-(#REF!+#REF!)+54.1397800762113</f>
        <v>#REF!</v>
      </c>
    </row>
    <row r="45" spans="1:12">
      <c r="A45" s="390" t="s">
        <v>195</v>
      </c>
      <c r="B45" s="370">
        <f>'1990'!$AE$37+'1990'!$AE$38++'1990'!$AE$48+'1990'!$AE$49+'1990'!$AE$57+'1990'!$AE$58</f>
        <v>0</v>
      </c>
      <c r="C45" s="370">
        <f>'2018'!$AE$37+'2018'!$AE$38++'2018'!$AE$48+'2018'!$AE$49+'2018'!$AE$57+'2018'!$AE$58</f>
        <v>0</v>
      </c>
      <c r="D45" s="370">
        <f>'BAU2030'!$AE$37+'BAU2030'!$AE$38++'BAU2030'!$AE$48+'BAU2030'!$AE$49+'BAU2030'!$AE$57+'BAU2030'!$AE$58</f>
        <v>22.338000000000001</v>
      </c>
      <c r="E45" s="370">
        <f>'BAU2050'!$AE$37+'BAU2050'!$AE$38++'BAU2050'!$AE$48+'BAU2050'!$AE$49+'BAU2050'!$AE$57+'BAU2050'!$AE$58</f>
        <v>22.338000000000001</v>
      </c>
      <c r="F45" s="370" t="e">
        <f>#REF!+#REF!++#REF!+#REF!+#REF!+#REF!</f>
        <v>#REF!</v>
      </c>
      <c r="G45" s="370" t="e">
        <f>#REF!+#REF!++#REF!+#REF!+#REF!+#REF!</f>
        <v>#REF!</v>
      </c>
    </row>
    <row r="46" spans="1:12">
      <c r="A46" s="392" t="s">
        <v>147</v>
      </c>
      <c r="B46" s="393">
        <f>SUM(B43:B45)</f>
        <v>1378.4609691239009</v>
      </c>
      <c r="C46" s="393">
        <f t="shared" ref="C46:G46" si="14">SUM(C43:C45)</f>
        <v>1658.9091759797716</v>
      </c>
      <c r="D46" s="393">
        <f t="shared" si="14"/>
        <v>1894.3679055793962</v>
      </c>
      <c r="E46" s="393">
        <f t="shared" si="14"/>
        <v>2377.7759984844956</v>
      </c>
      <c r="F46" s="393" t="e">
        <f t="shared" si="14"/>
        <v>#REF!</v>
      </c>
      <c r="G46" s="393" t="e">
        <f t="shared" si="14"/>
        <v>#REF!</v>
      </c>
    </row>
    <row r="47" spans="1:12">
      <c r="A47" s="403" t="s">
        <v>300</v>
      </c>
      <c r="B47" s="404">
        <f>B46/$L$2/'SOL og VIND'!$C$31*1000</f>
        <v>3354.703213217445</v>
      </c>
      <c r="C47" s="404">
        <f>C46/$L$2/'SOL og VIND'!$C$31*1000</f>
        <v>4037.2183672579763</v>
      </c>
      <c r="D47" s="404">
        <f>D46/$L$2/'SOL og VIND'!$C$31*1000</f>
        <v>4610.2444989082524</v>
      </c>
      <c r="E47" s="404">
        <f>E46/$L$2/'SOL og VIND'!$C$31*1000</f>
        <v>5786.6946987240226</v>
      </c>
      <c r="F47" s="404" t="e">
        <f>F46/$L$2/'SOL og VIND'!$C$31*1000</f>
        <v>#REF!</v>
      </c>
      <c r="G47" s="404" t="e">
        <f>G46/$L$2/'SOL og VIND'!$C$31*1000</f>
        <v>#REF!</v>
      </c>
    </row>
  </sheetData>
  <phoneticPr fontId="30" type="noConversion"/>
  <pageMargins left="0.7" right="0.7" top="0.75" bottom="0.75" header="0.3" footer="0.3"/>
  <pageSetup paperSize="9"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33"/>
  </sheetPr>
  <dimension ref="A1:Q43"/>
  <sheetViews>
    <sheetView workbookViewId="0">
      <selection activeCell="M49" sqref="M49"/>
    </sheetView>
  </sheetViews>
  <sheetFormatPr defaultRowHeight="13.2"/>
  <cols>
    <col min="2" max="2" width="37.33203125" customWidth="1"/>
    <col min="3" max="3" width="10.109375" bestFit="1" customWidth="1"/>
    <col min="13" max="13" width="45.88671875" bestFit="1" customWidth="1"/>
    <col min="16" max="16" width="35.109375" customWidth="1"/>
  </cols>
  <sheetData>
    <row r="1" spans="1:17" s="405" customFormat="1">
      <c r="B1" s="412" t="s">
        <v>318</v>
      </c>
    </row>
    <row r="2" spans="1:17">
      <c r="B2" s="413" t="s">
        <v>315</v>
      </c>
    </row>
    <row r="3" spans="1:17">
      <c r="F3" s="418">
        <v>1</v>
      </c>
      <c r="M3" s="399" t="s">
        <v>296</v>
      </c>
      <c r="N3" s="251" t="e">
        <f>Sammenfatning!G38</f>
        <v>#REF!</v>
      </c>
      <c r="O3" s="166" t="s">
        <v>202</v>
      </c>
    </row>
    <row r="4" spans="1:17">
      <c r="B4" s="414" t="s">
        <v>307</v>
      </c>
      <c r="C4">
        <v>25</v>
      </c>
      <c r="D4" s="166" t="s">
        <v>311</v>
      </c>
      <c r="F4" s="419" t="e">
        <f>$N$3/C4</f>
        <v>#REF!</v>
      </c>
      <c r="G4" t="s">
        <v>320</v>
      </c>
    </row>
    <row r="5" spans="1:17">
      <c r="B5" s="414" t="s">
        <v>308</v>
      </c>
      <c r="C5">
        <v>35</v>
      </c>
      <c r="D5" s="166" t="s">
        <v>129</v>
      </c>
      <c r="F5" s="419" t="e">
        <f t="shared" ref="F5:F7" si="0">$N$3/C5</f>
        <v>#REF!</v>
      </c>
      <c r="G5" t="s">
        <v>320</v>
      </c>
    </row>
    <row r="6" spans="1:17">
      <c r="B6" s="414" t="s">
        <v>309</v>
      </c>
      <c r="C6">
        <v>51</v>
      </c>
      <c r="D6" s="166" t="s">
        <v>129</v>
      </c>
      <c r="F6" s="419" t="e">
        <f t="shared" si="0"/>
        <v>#REF!</v>
      </c>
      <c r="G6" t="s">
        <v>320</v>
      </c>
      <c r="O6" t="s">
        <v>324</v>
      </c>
      <c r="P6" s="259" t="e">
        <f>N3-3*C4-9*C6-7*C7-11*C17</f>
        <v>#REF!</v>
      </c>
    </row>
    <row r="7" spans="1:17">
      <c r="A7" s="397"/>
      <c r="B7" s="414" t="s">
        <v>310</v>
      </c>
      <c r="C7">
        <v>82</v>
      </c>
      <c r="D7" t="s">
        <v>129</v>
      </c>
      <c r="F7" s="419" t="e">
        <f t="shared" si="0"/>
        <v>#REF!</v>
      </c>
      <c r="G7" t="s">
        <v>320</v>
      </c>
      <c r="O7" s="402" t="s">
        <v>333</v>
      </c>
      <c r="P7" s="402" t="s">
        <v>334</v>
      </c>
      <c r="Q7" s="402" t="s">
        <v>202</v>
      </c>
    </row>
    <row r="8" spans="1:17">
      <c r="O8" s="402" t="s">
        <v>335</v>
      </c>
      <c r="P8" s="402" t="s">
        <v>329</v>
      </c>
      <c r="Q8" s="402">
        <f>3*C4</f>
        <v>75</v>
      </c>
    </row>
    <row r="9" spans="1:17">
      <c r="B9" s="414" t="s">
        <v>312</v>
      </c>
      <c r="O9" s="402" t="s">
        <v>325</v>
      </c>
      <c r="P9" s="402" t="s">
        <v>330</v>
      </c>
      <c r="Q9" s="402">
        <f>9*C6</f>
        <v>459</v>
      </c>
    </row>
    <row r="10" spans="1:17">
      <c r="O10" s="402" t="s">
        <v>326</v>
      </c>
      <c r="P10" s="402" t="s">
        <v>331</v>
      </c>
      <c r="Q10" s="402">
        <f>7*C7</f>
        <v>574</v>
      </c>
    </row>
    <row r="11" spans="1:17">
      <c r="B11" s="415" t="s">
        <v>313</v>
      </c>
      <c r="O11" s="402" t="s">
        <v>327</v>
      </c>
      <c r="P11" s="402" t="s">
        <v>328</v>
      </c>
      <c r="Q11" s="242">
        <f>11*C17</f>
        <v>21.999977999999999</v>
      </c>
    </row>
    <row r="12" spans="1:17">
      <c r="O12" s="392" t="s">
        <v>332</v>
      </c>
      <c r="P12" s="392"/>
      <c r="Q12" s="392">
        <f>SUM(Q8:Q11)</f>
        <v>1129.9999780000001</v>
      </c>
    </row>
    <row r="13" spans="1:17">
      <c r="B13" s="413" t="s">
        <v>314</v>
      </c>
    </row>
    <row r="15" spans="1:17">
      <c r="B15" s="417" t="s">
        <v>316</v>
      </c>
      <c r="C15" s="416">
        <v>555555</v>
      </c>
      <c r="D15" s="166" t="s">
        <v>323</v>
      </c>
    </row>
    <row r="17" spans="1:7">
      <c r="B17" s="166" t="s">
        <v>317</v>
      </c>
      <c r="C17" s="259">
        <f>C15/1000*C31</f>
        <v>1.9999979999999997</v>
      </c>
      <c r="D17" s="166" t="s">
        <v>129</v>
      </c>
      <c r="F17" s="419" t="e">
        <f>N3/C17</f>
        <v>#REF!</v>
      </c>
      <c r="G17" t="s">
        <v>321</v>
      </c>
    </row>
    <row r="25" spans="1:7" s="405" customFormat="1">
      <c r="B25" s="412" t="s">
        <v>322</v>
      </c>
    </row>
    <row r="28" spans="1:7">
      <c r="A28" s="397" t="s">
        <v>289</v>
      </c>
    </row>
    <row r="30" spans="1:7" ht="13.8">
      <c r="B30" s="398"/>
      <c r="C30" s="398"/>
    </row>
    <row r="31" spans="1:7" ht="13.8">
      <c r="B31" s="398" t="s">
        <v>290</v>
      </c>
      <c r="C31" s="398">
        <v>3.5999999999999999E-3</v>
      </c>
    </row>
    <row r="32" spans="1:7" ht="13.8">
      <c r="B32" s="398"/>
      <c r="C32" s="398"/>
    </row>
    <row r="33" spans="2:6" ht="13.8">
      <c r="B33" s="400" t="s">
        <v>291</v>
      </c>
      <c r="C33" s="401">
        <v>759000</v>
      </c>
      <c r="D33" s="399" t="s">
        <v>292</v>
      </c>
    </row>
    <row r="34" spans="2:6" ht="13.8">
      <c r="B34" s="400" t="s">
        <v>298</v>
      </c>
      <c r="C34" s="401">
        <v>26000000</v>
      </c>
      <c r="D34" s="399" t="s">
        <v>292</v>
      </c>
    </row>
    <row r="36" spans="2:6">
      <c r="C36" s="166" t="s">
        <v>294</v>
      </c>
    </row>
    <row r="37" spans="2:6" ht="13.8">
      <c r="B37" s="400" t="s">
        <v>291</v>
      </c>
      <c r="C37" s="401">
        <f>C33/1000</f>
        <v>759</v>
      </c>
      <c r="D37" s="399" t="s">
        <v>293</v>
      </c>
    </row>
    <row r="38" spans="2:6" ht="13.8">
      <c r="B38" s="400" t="s">
        <v>274</v>
      </c>
      <c r="C38" s="401">
        <f>26000000/1000</f>
        <v>26000</v>
      </c>
      <c r="D38" s="399" t="s">
        <v>293</v>
      </c>
    </row>
    <row r="41" spans="2:6">
      <c r="C41" s="166" t="s">
        <v>202</v>
      </c>
      <c r="F41" s="166" t="s">
        <v>297</v>
      </c>
    </row>
    <row r="42" spans="2:6" ht="13.8">
      <c r="B42" s="400" t="s">
        <v>291</v>
      </c>
      <c r="C42" s="401">
        <f>C37*C31</f>
        <v>2.7323999999999997</v>
      </c>
      <c r="D42" s="399" t="s">
        <v>295</v>
      </c>
      <c r="E42" s="402"/>
      <c r="F42" s="402" t="e">
        <f>N3/C42</f>
        <v>#REF!</v>
      </c>
    </row>
    <row r="43" spans="2:6" ht="13.8">
      <c r="B43" s="400" t="s">
        <v>298</v>
      </c>
      <c r="C43" s="401">
        <f>C38*C31</f>
        <v>93.6</v>
      </c>
      <c r="D43" s="399" t="s">
        <v>295</v>
      </c>
      <c r="E43" s="402"/>
      <c r="F43" s="402" t="e">
        <f>N3/C43</f>
        <v>#REF!</v>
      </c>
    </row>
  </sheetData>
  <hyperlinks>
    <hyperlink ref="A28"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33"/>
  </sheetPr>
  <dimension ref="B5:F32"/>
  <sheetViews>
    <sheetView workbookViewId="0">
      <selection activeCell="F30" sqref="F30"/>
    </sheetView>
  </sheetViews>
  <sheetFormatPr defaultRowHeight="13.2"/>
  <cols>
    <col min="3" max="3" width="22.109375" customWidth="1"/>
  </cols>
  <sheetData>
    <row r="5" spans="2:5">
      <c r="B5" s="384" t="s">
        <v>266</v>
      </c>
      <c r="C5" t="s">
        <v>269</v>
      </c>
      <c r="D5" t="s">
        <v>202</v>
      </c>
    </row>
    <row r="6" spans="2:5">
      <c r="B6" t="s">
        <v>267</v>
      </c>
      <c r="C6">
        <v>4129</v>
      </c>
      <c r="D6">
        <f>C6*0.0036</f>
        <v>14.8644</v>
      </c>
    </row>
    <row r="7" spans="2:5">
      <c r="B7" t="s">
        <v>268</v>
      </c>
      <c r="C7">
        <v>13879</v>
      </c>
      <c r="D7">
        <f>C7*0.0036</f>
        <v>49.964399999999998</v>
      </c>
    </row>
    <row r="9" spans="2:5">
      <c r="D9">
        <f>D6+D7</f>
        <v>64.828800000000001</v>
      </c>
    </row>
    <row r="12" spans="2:5">
      <c r="B12" s="166" t="s">
        <v>278</v>
      </c>
      <c r="D12">
        <f>52-17</f>
        <v>35</v>
      </c>
      <c r="E12">
        <f>D12/3</f>
        <v>11.666666666666666</v>
      </c>
    </row>
    <row r="13" spans="2:5">
      <c r="D13" s="166" t="s">
        <v>288</v>
      </c>
    </row>
    <row r="18" spans="2:6">
      <c r="B18" s="384" t="s">
        <v>270</v>
      </c>
      <c r="C18">
        <v>3100</v>
      </c>
      <c r="D18">
        <f>C18*0.0036</f>
        <v>11.16</v>
      </c>
    </row>
    <row r="20" spans="2:6">
      <c r="C20" t="s">
        <v>272</v>
      </c>
      <c r="D20" t="s">
        <v>273</v>
      </c>
      <c r="E20" t="s">
        <v>202</v>
      </c>
    </row>
    <row r="21" spans="2:6">
      <c r="B21" s="384" t="s">
        <v>271</v>
      </c>
      <c r="C21">
        <v>310000</v>
      </c>
      <c r="D21">
        <f>C21*39.8</f>
        <v>12338000</v>
      </c>
      <c r="E21">
        <v>12.337999999999999</v>
      </c>
    </row>
    <row r="23" spans="2:6">
      <c r="B23" s="383" t="s">
        <v>274</v>
      </c>
    </row>
    <row r="24" spans="2:6">
      <c r="B24" s="166" t="s">
        <v>275</v>
      </c>
    </row>
    <row r="26" spans="2:6">
      <c r="C26" s="166" t="s">
        <v>276</v>
      </c>
    </row>
    <row r="28" spans="2:6">
      <c r="C28" s="166" t="s">
        <v>277</v>
      </c>
      <c r="D28" s="166">
        <f>510000000/1000</f>
        <v>510000</v>
      </c>
    </row>
    <row r="29" spans="2:6">
      <c r="C29" s="166" t="s">
        <v>202</v>
      </c>
      <c r="D29">
        <f>D28*0.0036</f>
        <v>1836</v>
      </c>
    </row>
    <row r="30" spans="2:6">
      <c r="F30">
        <f>D29-D32</f>
        <v>1311.4285714285716</v>
      </c>
    </row>
    <row r="32" spans="2:6">
      <c r="C32" s="166" t="s">
        <v>287</v>
      </c>
      <c r="D32">
        <f>D29/3.5</f>
        <v>524.57142857142856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4</vt:i4>
      </vt:variant>
    </vt:vector>
  </HeadingPairs>
  <TitlesOfParts>
    <vt:vector size="13" baseType="lpstr">
      <vt:lpstr>Udledningssti afrundet</vt:lpstr>
      <vt:lpstr>BAU2050</vt:lpstr>
      <vt:lpstr>BAU2030</vt:lpstr>
      <vt:lpstr>2018</vt:lpstr>
      <vt:lpstr>1990</vt:lpstr>
      <vt:lpstr>Grafer</vt:lpstr>
      <vt:lpstr>Sammenfatning</vt:lpstr>
      <vt:lpstr>SOL og VIND</vt:lpstr>
      <vt:lpstr>Ark1</vt:lpstr>
      <vt:lpstr>'2018'!Udskriftsområde</vt:lpstr>
      <vt:lpstr>'BAU2030'!Udskriftsområde</vt:lpstr>
      <vt:lpstr>'BAU2050'!Udskriftsområde</vt:lpstr>
      <vt:lpstr>Grafer!Udskriftsområde</vt:lpstr>
    </vt:vector>
  </TitlesOfParts>
  <Company>PlanEnergi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Michael Odgaard</dc:creator>
  <cp:lastModifiedBy>Mette Korsgaard Harbøll</cp:lastModifiedBy>
  <cp:lastPrinted>2018-07-12T06:57:45Z</cp:lastPrinted>
  <dcterms:created xsi:type="dcterms:W3CDTF">2007-01-15T14:25:48Z</dcterms:created>
  <dcterms:modified xsi:type="dcterms:W3CDTF">2021-05-05T07:41:21Z</dcterms:modified>
</cp:coreProperties>
</file>