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6.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style1.xml" ContentType="application/vnd.ms-office.chartstyle+xml"/>
  <Override PartName="/xl/charts/colors1.xml" ContentType="application/vnd.ms-office.chartcolorstyle+xml"/>
  <Override PartName="/xl/charts/chart36.xml" ContentType="application/vnd.openxmlformats-officedocument.drawingml.chart+xml"/>
  <Override PartName="/xl/charts/style2.xml" ContentType="application/vnd.ms-office.chartstyle+xml"/>
  <Override PartName="/xl/charts/colors2.xml" ContentType="application/vnd.ms-office.chartcolorstyle+xml"/>
  <Override PartName="/xl/charts/chart37.xml" ContentType="application/vnd.openxmlformats-officedocument.drawingml.chart+xml"/>
  <Override PartName="/xl/charts/style3.xml" ContentType="application/vnd.ms-office.chartstyle+xml"/>
  <Override PartName="/xl/charts/colors3.xml" ContentType="application/vnd.ms-office.chartcolorstyle+xml"/>
  <Override PartName="/xl/charts/chart3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mc:AlternateContent xmlns:mc="http://schemas.openxmlformats.org/markup-compatibility/2006">
    <mc:Choice Requires="x15">
      <x15ac:absPath xmlns:x15ac="http://schemas.microsoft.com/office/spreadsheetml/2010/11/ac" url="U:\Klimaplan\Drivhusgasregnskabet fra PlanEnergi\"/>
    </mc:Choice>
  </mc:AlternateContent>
  <bookViews>
    <workbookView xWindow="396" yWindow="396" windowWidth="21600" windowHeight="12732" tabRatio="520" activeTab="5"/>
  </bookViews>
  <sheets>
    <sheet name="BAU2050" sheetId="23" r:id="rId1"/>
    <sheet name="BAU2030" sheetId="25" r:id="rId2"/>
    <sheet name="2018" sheetId="27" r:id="rId3"/>
    <sheet name="1990" sheetId="45" r:id="rId4"/>
    <sheet name="Grafer" sheetId="35" state="hidden" r:id="rId5"/>
    <sheet name="Landbrug + Sammen fatning" sheetId="44" r:id="rId6"/>
    <sheet name="Ark1" sheetId="46" state="hidden" r:id="rId7"/>
  </sheets>
  <definedNames>
    <definedName name="_xlnm.Print_Area" localSheetId="2">'2018'!$A$1:$AQ$91</definedName>
    <definedName name="_xlnm.Print_Area" localSheetId="1">'BAU2030'!$A$1:$AQ$91</definedName>
    <definedName name="_xlnm.Print_Area" localSheetId="0">'BAU2050'!$A$1:$AQ$91</definedName>
    <definedName name="_xlnm.Print_Area" localSheetId="4">Grafer!$A:$P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7" i="25" l="1"/>
  <c r="F30" i="46"/>
  <c r="D32" i="46"/>
  <c r="J27" i="23"/>
  <c r="D29" i="46"/>
  <c r="D28" i="46"/>
  <c r="AE14" i="23"/>
  <c r="AE48" i="23"/>
  <c r="E12" i="46"/>
  <c r="AE14" i="25"/>
  <c r="E4" i="44" l="1"/>
  <c r="D4" i="44"/>
  <c r="S9" i="44"/>
  <c r="S8" i="44"/>
  <c r="I45" i="25" l="1"/>
  <c r="AD49" i="23"/>
  <c r="AD48" i="23"/>
  <c r="Q56" i="23"/>
  <c r="I56" i="23"/>
  <c r="E56" i="23"/>
  <c r="V53" i="23"/>
  <c r="S47" i="23"/>
  <c r="Q47" i="23"/>
  <c r="I45" i="23"/>
  <c r="I47" i="23"/>
  <c r="L60" i="23"/>
  <c r="N57" i="23"/>
  <c r="I47" i="25"/>
  <c r="D21" i="46"/>
  <c r="I56" i="25"/>
  <c r="L60" i="25"/>
  <c r="D18" i="46"/>
  <c r="D12" i="46"/>
  <c r="D9" i="46"/>
  <c r="D7" i="46"/>
  <c r="D6" i="46"/>
  <c r="L60" i="44" l="1"/>
  <c r="B51" i="44"/>
  <c r="C66" i="44"/>
  <c r="B66" i="44"/>
  <c r="E7" i="44" l="1"/>
  <c r="D7" i="44"/>
  <c r="J6" i="44"/>
  <c r="H6" i="44"/>
  <c r="E6" i="44" l="1"/>
  <c r="D6" i="44"/>
  <c r="I18" i="23" l="1"/>
  <c r="I18" i="25"/>
  <c r="P72" i="25"/>
  <c r="P73" i="25"/>
  <c r="P74" i="25"/>
  <c r="H72" i="25"/>
  <c r="AQ13" i="25"/>
  <c r="F73" i="25"/>
  <c r="F74" i="25"/>
  <c r="F75" i="23"/>
  <c r="P75" i="25" l="1"/>
  <c r="F76" i="25"/>
  <c r="F75" i="25"/>
  <c r="P76" i="25"/>
  <c r="AQ13" i="23"/>
  <c r="AH13" i="23" s="1"/>
  <c r="AE13" i="23" s="1"/>
  <c r="AD13" i="23" s="1"/>
  <c r="AB99" i="23"/>
  <c r="AB100" i="23" s="1"/>
  <c r="P74" i="23"/>
  <c r="F74" i="23"/>
  <c r="AH98" i="25"/>
  <c r="AH99" i="25" s="1"/>
  <c r="P73" i="23"/>
  <c r="F73" i="23"/>
  <c r="P72" i="23"/>
  <c r="H72" i="23"/>
  <c r="C60" i="44"/>
  <c r="B60" i="44"/>
  <c r="C63" i="44"/>
  <c r="B63" i="44"/>
  <c r="C47" i="44"/>
  <c r="B47" i="44"/>
  <c r="C48" i="44"/>
  <c r="B48" i="44"/>
  <c r="L26" i="23"/>
  <c r="L26" i="25"/>
  <c r="F78" i="23"/>
  <c r="X78" i="23" s="1"/>
  <c r="AQ78" i="23" s="1"/>
  <c r="AH78" i="23" s="1"/>
  <c r="H79" i="23"/>
  <c r="G79" i="23"/>
  <c r="P76" i="23"/>
  <c r="X76" i="23" s="1"/>
  <c r="AQ76" i="23" s="1"/>
  <c r="AH76" i="23" s="1"/>
  <c r="P75" i="23"/>
  <c r="F76" i="23"/>
  <c r="E17" i="23"/>
  <c r="X17" i="23"/>
  <c r="AI17" i="23" s="1"/>
  <c r="AH17" i="23" s="1"/>
  <c r="S19" i="23"/>
  <c r="R20" i="23"/>
  <c r="Q21" i="23"/>
  <c r="X21" i="23" s="1"/>
  <c r="AI21" i="23" s="1"/>
  <c r="AH21" i="23" s="1"/>
  <c r="E36" i="23"/>
  <c r="X36" i="23" s="1"/>
  <c r="AF36" i="23" s="1"/>
  <c r="C33" i="23"/>
  <c r="T33" i="23"/>
  <c r="T81" i="23" s="1"/>
  <c r="T82" i="23" s="1"/>
  <c r="S33" i="23"/>
  <c r="R33" i="23"/>
  <c r="O33" i="23"/>
  <c r="O81" i="23" s="1"/>
  <c r="P36" i="23"/>
  <c r="X47" i="23"/>
  <c r="V81" i="23"/>
  <c r="V82" i="23" s="1"/>
  <c r="X60" i="23"/>
  <c r="AF60" i="23" s="1"/>
  <c r="X19" i="23"/>
  <c r="AI19" i="23" s="1"/>
  <c r="AH19" i="23" s="1"/>
  <c r="O97" i="23"/>
  <c r="O98" i="23"/>
  <c r="W81" i="23"/>
  <c r="W82" i="23" s="1"/>
  <c r="U81" i="23"/>
  <c r="M81" i="23"/>
  <c r="M82" i="23" s="1"/>
  <c r="L81" i="23"/>
  <c r="K81" i="23"/>
  <c r="K82" i="23" s="1"/>
  <c r="C81" i="23"/>
  <c r="C82" i="23" s="1"/>
  <c r="B81" i="23"/>
  <c r="B82" i="23" s="1"/>
  <c r="F80" i="23"/>
  <c r="D80" i="23"/>
  <c r="AD78" i="23"/>
  <c r="X77" i="23"/>
  <c r="AP77" i="23" s="1"/>
  <c r="X75" i="23"/>
  <c r="AQ75" i="23" s="1"/>
  <c r="AH75" i="23" s="1"/>
  <c r="X74" i="23"/>
  <c r="AQ74" i="23" s="1"/>
  <c r="AH74" i="23" s="1"/>
  <c r="AC71" i="23"/>
  <c r="X71" i="23"/>
  <c r="AF70" i="23"/>
  <c r="AN70" i="23" s="1"/>
  <c r="AH70" i="23" s="1"/>
  <c r="X70" i="23"/>
  <c r="AE69" i="23"/>
  <c r="X69" i="23"/>
  <c r="AH68" i="23"/>
  <c r="X68" i="23"/>
  <c r="AD68" i="23" s="1"/>
  <c r="AH67" i="23"/>
  <c r="AF67" i="23"/>
  <c r="AD67" i="23"/>
  <c r="X67" i="23"/>
  <c r="AH66" i="23"/>
  <c r="AF66" i="23"/>
  <c r="X66" i="23"/>
  <c r="AD66" i="23" s="1"/>
  <c r="AH65" i="23"/>
  <c r="AF65" i="23"/>
  <c r="AD65" i="23"/>
  <c r="X65" i="23"/>
  <c r="AH64" i="23"/>
  <c r="AF64" i="23"/>
  <c r="X64" i="23"/>
  <c r="AD64" i="23" s="1"/>
  <c r="AH63" i="23"/>
  <c r="AF63" i="23"/>
  <c r="AD63" i="23"/>
  <c r="X63" i="23"/>
  <c r="AC62" i="23"/>
  <c r="X62" i="23"/>
  <c r="AH61" i="23"/>
  <c r="AF61" i="23"/>
  <c r="X61" i="23"/>
  <c r="AD61" i="23" s="1"/>
  <c r="AH60" i="23"/>
  <c r="X59" i="23"/>
  <c r="AF59" i="23" s="1"/>
  <c r="AF58" i="23"/>
  <c r="AD58" i="23"/>
  <c r="X58" i="23"/>
  <c r="AF57" i="23"/>
  <c r="X57" i="23" s="1"/>
  <c r="AD57" i="23"/>
  <c r="AH56" i="23"/>
  <c r="AC55" i="23"/>
  <c r="X55" i="23"/>
  <c r="AH54" i="23"/>
  <c r="X54" i="23"/>
  <c r="AH53" i="23"/>
  <c r="X53" i="23"/>
  <c r="AC52" i="23"/>
  <c r="X52" i="23"/>
  <c r="AH51" i="23"/>
  <c r="AF51" i="23"/>
  <c r="AD51" i="23"/>
  <c r="X51" i="23"/>
  <c r="AH50" i="23"/>
  <c r="X50" i="23"/>
  <c r="AF50" i="23" s="1"/>
  <c r="AF49" i="23"/>
  <c r="X49" i="23"/>
  <c r="AF48" i="23"/>
  <c r="AH47" i="23"/>
  <c r="S81" i="23"/>
  <c r="S82" i="23" s="1"/>
  <c r="AH46" i="23"/>
  <c r="X46" i="23"/>
  <c r="AD46" i="23" s="1"/>
  <c r="AH45" i="23"/>
  <c r="X45" i="23"/>
  <c r="AD45" i="23" s="1"/>
  <c r="AH44" i="23"/>
  <c r="X44" i="23"/>
  <c r="AC43" i="23"/>
  <c r="X43" i="23"/>
  <c r="AH42" i="23"/>
  <c r="X42" i="23"/>
  <c r="AH41" i="23"/>
  <c r="X41" i="23"/>
  <c r="AH40" i="23"/>
  <c r="X40" i="23"/>
  <c r="AC39" i="23"/>
  <c r="X39" i="23"/>
  <c r="AF38" i="23"/>
  <c r="AD38" i="23"/>
  <c r="X38" i="23"/>
  <c r="AF37" i="23"/>
  <c r="N37" i="23" s="1"/>
  <c r="X37" i="23" s="1"/>
  <c r="AD37" i="23"/>
  <c r="AH36" i="23"/>
  <c r="AH35" i="23"/>
  <c r="X35" i="23"/>
  <c r="AH34" i="23"/>
  <c r="X34" i="23"/>
  <c r="AH33" i="23"/>
  <c r="AH32" i="23"/>
  <c r="X32" i="23"/>
  <c r="AF32" i="23" s="1"/>
  <c r="I31" i="23"/>
  <c r="X31" i="23" s="1"/>
  <c r="AH30" i="23"/>
  <c r="AD30" i="23"/>
  <c r="X30" i="23"/>
  <c r="AH29" i="23"/>
  <c r="X29" i="23"/>
  <c r="AD29" i="23" s="1"/>
  <c r="AH28" i="23"/>
  <c r="X28" i="23"/>
  <c r="AD28" i="23" s="1"/>
  <c r="AH27" i="23"/>
  <c r="AH26" i="23"/>
  <c r="X26" i="23"/>
  <c r="AD26" i="23" s="1"/>
  <c r="X25" i="23"/>
  <c r="AN25" i="23" s="1"/>
  <c r="AH25" i="23" s="1"/>
  <c r="X24" i="23"/>
  <c r="AN24" i="23" s="1"/>
  <c r="AH24" i="23" s="1"/>
  <c r="X23" i="23"/>
  <c r="AN23" i="23" s="1"/>
  <c r="AH23" i="23" s="1"/>
  <c r="AI22" i="23"/>
  <c r="AH22" i="23" s="1"/>
  <c r="X22" i="23"/>
  <c r="R81" i="23"/>
  <c r="X18" i="23"/>
  <c r="AI18" i="23" s="1"/>
  <c r="AH18" i="23" s="1"/>
  <c r="AQ16" i="23"/>
  <c r="AN16" i="23"/>
  <c r="X16" i="23"/>
  <c r="AI16" i="23" s="1"/>
  <c r="AH15" i="23"/>
  <c r="AI14" i="23"/>
  <c r="AD14" i="23"/>
  <c r="X13" i="23"/>
  <c r="AH12" i="23"/>
  <c r="AE12" i="23" s="1"/>
  <c r="AD12" i="23" s="1"/>
  <c r="X12" i="23"/>
  <c r="AH11" i="23"/>
  <c r="AE11" i="23" s="1"/>
  <c r="AD11" i="23" s="1"/>
  <c r="X11" i="23"/>
  <c r="AH10" i="23"/>
  <c r="AE10" i="23" s="1"/>
  <c r="AD10" i="23" s="1"/>
  <c r="X10" i="23"/>
  <c r="AH9" i="23"/>
  <c r="AE9" i="23" s="1"/>
  <c r="AD9" i="23" s="1"/>
  <c r="X9" i="23"/>
  <c r="AH8" i="23"/>
  <c r="X8" i="23"/>
  <c r="P96" i="25"/>
  <c r="W84" i="23"/>
  <c r="V84" i="23"/>
  <c r="U84" i="23"/>
  <c r="T84" i="23"/>
  <c r="S84" i="23"/>
  <c r="N84" i="23"/>
  <c r="M84" i="23"/>
  <c r="L84" i="23"/>
  <c r="K84" i="23"/>
  <c r="J84" i="23"/>
  <c r="X83" i="23"/>
  <c r="U82" i="23"/>
  <c r="S19" i="25"/>
  <c r="E17" i="25"/>
  <c r="P98" i="25"/>
  <c r="P97" i="25"/>
  <c r="P76" i="27"/>
  <c r="F76" i="27"/>
  <c r="P75" i="27"/>
  <c r="F75" i="27"/>
  <c r="P74" i="27"/>
  <c r="F74" i="27"/>
  <c r="P73" i="27"/>
  <c r="F73" i="27"/>
  <c r="P72" i="27"/>
  <c r="H72" i="27"/>
  <c r="T33" i="27"/>
  <c r="O33" i="27"/>
  <c r="I31" i="27"/>
  <c r="N48" i="23" l="1"/>
  <c r="X48" i="23" s="1"/>
  <c r="AF46" i="23"/>
  <c r="X80" i="23"/>
  <c r="AQ80" i="23" s="1"/>
  <c r="AH80" i="23" s="1"/>
  <c r="AF71" i="23"/>
  <c r="H81" i="23"/>
  <c r="H82" i="23" s="1"/>
  <c r="X79" i="23"/>
  <c r="AQ79" i="23" s="1"/>
  <c r="AH79" i="23" s="1"/>
  <c r="X33" i="23"/>
  <c r="AF33" i="23" s="1"/>
  <c r="AF45" i="23"/>
  <c r="X56" i="23"/>
  <c r="AF56" i="23" s="1"/>
  <c r="AF62" i="23" s="1"/>
  <c r="AG62" i="23" s="1"/>
  <c r="AH14" i="23"/>
  <c r="N14" i="23" s="1"/>
  <c r="AF34" i="23"/>
  <c r="AD34" i="23"/>
  <c r="AF42" i="23"/>
  <c r="AD42" i="23"/>
  <c r="AF44" i="23"/>
  <c r="AD44" i="23"/>
  <c r="AF54" i="23"/>
  <c r="AD54" i="23"/>
  <c r="AD69" i="23"/>
  <c r="AN69" i="23"/>
  <c r="AH69" i="23" s="1"/>
  <c r="P81" i="23"/>
  <c r="P82" i="23" s="1"/>
  <c r="X72" i="23"/>
  <c r="AQ72" i="23" s="1"/>
  <c r="AH72" i="23" s="1"/>
  <c r="AP81" i="23"/>
  <c r="AH77" i="23"/>
  <c r="G81" i="23"/>
  <c r="G82" i="23" s="1"/>
  <c r="AF35" i="23"/>
  <c r="AD35" i="23"/>
  <c r="AF41" i="23"/>
  <c r="AD41" i="23"/>
  <c r="F81" i="23"/>
  <c r="F82" i="23" s="1"/>
  <c r="X73" i="23"/>
  <c r="AQ73" i="23" s="1"/>
  <c r="AH73" i="23" s="1"/>
  <c r="AF40" i="23"/>
  <c r="AD40" i="23"/>
  <c r="AF47" i="23"/>
  <c r="AD47" i="23"/>
  <c r="AE8" i="23"/>
  <c r="AH16" i="23"/>
  <c r="J81" i="23"/>
  <c r="J82" i="23" s="1"/>
  <c r="X27" i="23"/>
  <c r="AD27" i="23" s="1"/>
  <c r="AD32" i="23"/>
  <c r="AF53" i="23"/>
  <c r="AF55" i="23" s="1"/>
  <c r="AG55" i="23" s="1"/>
  <c r="AD53" i="23"/>
  <c r="AG71" i="23"/>
  <c r="D81" i="23"/>
  <c r="D82" i="23" s="1"/>
  <c r="E81" i="23"/>
  <c r="E82" i="23" s="1"/>
  <c r="I81" i="23"/>
  <c r="I82" i="23" s="1"/>
  <c r="Q81" i="23"/>
  <c r="Q82" i="23" s="1"/>
  <c r="X20" i="23"/>
  <c r="AI20" i="23" s="1"/>
  <c r="AH20" i="23" s="1"/>
  <c r="R84" i="23"/>
  <c r="R82" i="23"/>
  <c r="L82" i="23"/>
  <c r="O82" i="23"/>
  <c r="O84" i="23"/>
  <c r="AQ13" i="27"/>
  <c r="AH13" i="27" s="1"/>
  <c r="AE13" i="27" s="1"/>
  <c r="AD13" i="27" s="1"/>
  <c r="X8" i="27"/>
  <c r="AH8" i="27"/>
  <c r="X9" i="27"/>
  <c r="AH9" i="27"/>
  <c r="AE9" i="27" s="1"/>
  <c r="AD9" i="27" s="1"/>
  <c r="X10" i="27"/>
  <c r="AH10" i="27"/>
  <c r="AE10" i="27" s="1"/>
  <c r="AD10" i="27" s="1"/>
  <c r="X11" i="27"/>
  <c r="AH11" i="27"/>
  <c r="AE11" i="27" s="1"/>
  <c r="AD11" i="27" s="1"/>
  <c r="X12" i="27"/>
  <c r="AH12" i="27"/>
  <c r="AE12" i="27" s="1"/>
  <c r="AD12" i="27" s="1"/>
  <c r="X13" i="27"/>
  <c r="AD14" i="27"/>
  <c r="AI14" i="27"/>
  <c r="AH14" i="27" s="1"/>
  <c r="N14" i="27" s="1"/>
  <c r="AH15" i="27"/>
  <c r="X16" i="27"/>
  <c r="AI16" i="27" s="1"/>
  <c r="X17" i="27"/>
  <c r="AI17" i="27" s="1"/>
  <c r="AH17" i="27" s="1"/>
  <c r="X18" i="27"/>
  <c r="AI18" i="27" s="1"/>
  <c r="AH18" i="27" s="1"/>
  <c r="X19" i="27"/>
  <c r="AI19" i="27" s="1"/>
  <c r="AH19" i="27" s="1"/>
  <c r="X20" i="27"/>
  <c r="AI20" i="27" s="1"/>
  <c r="AH20" i="27" s="1"/>
  <c r="X21" i="27"/>
  <c r="AI21" i="27" s="1"/>
  <c r="AH21" i="27" s="1"/>
  <c r="X22" i="27"/>
  <c r="AI22" i="27" s="1"/>
  <c r="AH22" i="27" s="1"/>
  <c r="X23" i="27"/>
  <c r="AN23" i="27" s="1"/>
  <c r="AH23" i="27" s="1"/>
  <c r="X24" i="27"/>
  <c r="AN24" i="27" s="1"/>
  <c r="AH24" i="27" s="1"/>
  <c r="X25" i="27"/>
  <c r="AN25" i="27" s="1"/>
  <c r="AH25" i="27" s="1"/>
  <c r="X26" i="27"/>
  <c r="AD26" i="27" s="1"/>
  <c r="AH26" i="27"/>
  <c r="X27" i="27"/>
  <c r="AD27" i="27"/>
  <c r="AH27" i="27"/>
  <c r="X28" i="27"/>
  <c r="AD28" i="27" s="1"/>
  <c r="AH28" i="27"/>
  <c r="X29" i="27"/>
  <c r="AD29" i="27" s="1"/>
  <c r="AH29" i="27"/>
  <c r="X30" i="27"/>
  <c r="AD30" i="27" s="1"/>
  <c r="AH30" i="27"/>
  <c r="X31" i="27"/>
  <c r="X32" i="27"/>
  <c r="AD32" i="27" s="1"/>
  <c r="AH32" i="27"/>
  <c r="X33" i="27"/>
  <c r="T81" i="27"/>
  <c r="T82" i="27" s="1"/>
  <c r="AH33" i="27"/>
  <c r="X34" i="27"/>
  <c r="AD34" i="27" s="1"/>
  <c r="AF34" i="27"/>
  <c r="AH34" i="27"/>
  <c r="X35" i="27"/>
  <c r="AD35" i="27" s="1"/>
  <c r="AF35" i="27"/>
  <c r="AH35" i="27"/>
  <c r="X36" i="27"/>
  <c r="AF36" i="27" s="1"/>
  <c r="AH36" i="27"/>
  <c r="AD37" i="27"/>
  <c r="AF37" i="27"/>
  <c r="X38" i="27"/>
  <c r="AD38" i="27"/>
  <c r="AF38" i="27"/>
  <c r="X39" i="27"/>
  <c r="AC39" i="27"/>
  <c r="X40" i="27"/>
  <c r="AD40" i="27" s="1"/>
  <c r="AF40" i="27"/>
  <c r="AH40" i="27"/>
  <c r="X41" i="27"/>
  <c r="AD41" i="27" s="1"/>
  <c r="AH41" i="27"/>
  <c r="X42" i="27"/>
  <c r="AD42" i="27" s="1"/>
  <c r="AH42" i="27"/>
  <c r="X43" i="27"/>
  <c r="AC43" i="27"/>
  <c r="X44" i="27"/>
  <c r="AD44" i="27" s="1"/>
  <c r="AH44" i="27"/>
  <c r="X45" i="27"/>
  <c r="AH45" i="27"/>
  <c r="X46" i="27"/>
  <c r="AD46" i="27" s="1"/>
  <c r="AH46" i="27"/>
  <c r="X47" i="27"/>
  <c r="AH47" i="27"/>
  <c r="AD48" i="27"/>
  <c r="AF48" i="27"/>
  <c r="X49" i="27"/>
  <c r="AD49" i="27"/>
  <c r="AF49" i="27"/>
  <c r="X50" i="27"/>
  <c r="AF50" i="27" s="1"/>
  <c r="AH50" i="27"/>
  <c r="X51" i="27"/>
  <c r="AF51" i="27" s="1"/>
  <c r="AH51" i="27"/>
  <c r="X52" i="27"/>
  <c r="AC52" i="27"/>
  <c r="X53" i="27"/>
  <c r="AD53" i="27" s="1"/>
  <c r="AH53" i="27"/>
  <c r="X54" i="27"/>
  <c r="AD54" i="27" s="1"/>
  <c r="AH54" i="27"/>
  <c r="X55" i="27"/>
  <c r="AC55" i="27"/>
  <c r="X56" i="27"/>
  <c r="AF56" i="27" s="1"/>
  <c r="AH56" i="27"/>
  <c r="AD57" i="27"/>
  <c r="AF57" i="27"/>
  <c r="X58" i="27"/>
  <c r="AF58" i="27" s="1"/>
  <c r="AD58" i="27"/>
  <c r="X59" i="27"/>
  <c r="AF59" i="27" s="1"/>
  <c r="X60" i="27"/>
  <c r="AF60" i="27" s="1"/>
  <c r="AH60" i="27"/>
  <c r="X61" i="27"/>
  <c r="AF61" i="27" s="1"/>
  <c r="AH61" i="27"/>
  <c r="X62" i="27"/>
  <c r="AC62" i="27"/>
  <c r="X63" i="27"/>
  <c r="AF63" i="27" s="1"/>
  <c r="AH63" i="27"/>
  <c r="X64" i="27"/>
  <c r="AF64" i="27" s="1"/>
  <c r="AD64" i="27"/>
  <c r="AH64" i="27"/>
  <c r="X65" i="27"/>
  <c r="AF65" i="27" s="1"/>
  <c r="AH65" i="27"/>
  <c r="X66" i="27"/>
  <c r="AF66" i="27" s="1"/>
  <c r="AH66" i="27"/>
  <c r="X67" i="27"/>
  <c r="AF67" i="27" s="1"/>
  <c r="AH67" i="27"/>
  <c r="X68" i="27"/>
  <c r="AD68" i="27"/>
  <c r="AH68" i="27"/>
  <c r="X69" i="27"/>
  <c r="AE69" i="27"/>
  <c r="AN69" i="27" s="1"/>
  <c r="AH69" i="27" s="1"/>
  <c r="X70" i="27"/>
  <c r="AF70" i="27"/>
  <c r="AN70" i="27" s="1"/>
  <c r="AH70" i="27" s="1"/>
  <c r="X71" i="27"/>
  <c r="AC71" i="27"/>
  <c r="X72" i="27"/>
  <c r="AQ72" i="27" s="1"/>
  <c r="P81" i="27"/>
  <c r="X73" i="27"/>
  <c r="AQ73" i="27" s="1"/>
  <c r="AH73" i="27" s="1"/>
  <c r="X74" i="27"/>
  <c r="AQ74" i="27" s="1"/>
  <c r="AH74" i="27" s="1"/>
  <c r="X75" i="27"/>
  <c r="AQ75" i="27" s="1"/>
  <c r="AH75" i="27" s="1"/>
  <c r="X76" i="27"/>
  <c r="AQ76" i="27" s="1"/>
  <c r="AH76" i="27" s="1"/>
  <c r="X77" i="27"/>
  <c r="AP77" i="27" s="1"/>
  <c r="X78" i="27"/>
  <c r="AQ78" i="27" s="1"/>
  <c r="AH78" i="27" s="1"/>
  <c r="AD78" i="27"/>
  <c r="X79" i="27"/>
  <c r="AQ79" i="27" s="1"/>
  <c r="AH79" i="27" s="1"/>
  <c r="X80" i="27"/>
  <c r="AQ80" i="27" s="1"/>
  <c r="AH80" i="27" s="1"/>
  <c r="B81" i="27"/>
  <c r="C81" i="27"/>
  <c r="C82" i="27" s="1"/>
  <c r="D81" i="27"/>
  <c r="G81" i="27"/>
  <c r="G82" i="27" s="1"/>
  <c r="H81" i="27"/>
  <c r="I81" i="27"/>
  <c r="I82" i="27" s="1"/>
  <c r="J81" i="27"/>
  <c r="K81" i="27"/>
  <c r="K82" i="27" s="1"/>
  <c r="L81" i="27"/>
  <c r="M81" i="27"/>
  <c r="M82" i="27" s="1"/>
  <c r="O81" i="27"/>
  <c r="O82" i="27" s="1"/>
  <c r="Q81" i="27"/>
  <c r="Q82" i="27" s="1"/>
  <c r="R81" i="27"/>
  <c r="R82" i="27" s="1"/>
  <c r="S81" i="27"/>
  <c r="S82" i="27" s="1"/>
  <c r="U81" i="27"/>
  <c r="V81" i="27"/>
  <c r="W81" i="27"/>
  <c r="W82" i="27" s="1"/>
  <c r="B82" i="27"/>
  <c r="D82" i="27"/>
  <c r="H82" i="27"/>
  <c r="J82" i="27"/>
  <c r="L82" i="27"/>
  <c r="U82" i="27"/>
  <c r="V82" i="27"/>
  <c r="X83" i="27"/>
  <c r="J84" i="27"/>
  <c r="K84" i="27"/>
  <c r="L84" i="27"/>
  <c r="M84" i="27"/>
  <c r="N84" i="27"/>
  <c r="R84" i="27"/>
  <c r="S84" i="27"/>
  <c r="T84" i="27"/>
  <c r="U84" i="27"/>
  <c r="V84" i="27"/>
  <c r="W84" i="27"/>
  <c r="B86" i="27"/>
  <c r="C86" i="27"/>
  <c r="D86" i="27"/>
  <c r="E86" i="27"/>
  <c r="F86" i="27"/>
  <c r="G86" i="27"/>
  <c r="H86" i="27"/>
  <c r="I86" i="27"/>
  <c r="J86" i="27"/>
  <c r="K86" i="27"/>
  <c r="L86" i="27"/>
  <c r="M86" i="27"/>
  <c r="N86" i="27"/>
  <c r="O86" i="27"/>
  <c r="P86" i="27"/>
  <c r="Q86" i="27"/>
  <c r="R86" i="27"/>
  <c r="S86" i="27"/>
  <c r="T86" i="27"/>
  <c r="U86" i="27"/>
  <c r="V86" i="27"/>
  <c r="W86" i="27"/>
  <c r="AD95" i="27"/>
  <c r="I95" i="25"/>
  <c r="I97" i="25" s="1"/>
  <c r="W86" i="25"/>
  <c r="V86" i="25"/>
  <c r="U86" i="25"/>
  <c r="T86" i="25"/>
  <c r="S86" i="25"/>
  <c r="R86" i="25"/>
  <c r="Q86" i="25"/>
  <c r="P86" i="25"/>
  <c r="O86" i="25"/>
  <c r="N86" i="25"/>
  <c r="M86" i="25"/>
  <c r="L86" i="25"/>
  <c r="K86" i="25"/>
  <c r="J86" i="25"/>
  <c r="I86" i="25"/>
  <c r="H86" i="25"/>
  <c r="G86" i="25"/>
  <c r="F86" i="25"/>
  <c r="E86" i="25"/>
  <c r="D86" i="25"/>
  <c r="C86" i="25"/>
  <c r="B86" i="25"/>
  <c r="W84" i="25"/>
  <c r="V84" i="25"/>
  <c r="U84" i="25"/>
  <c r="T84" i="25"/>
  <c r="S84" i="25"/>
  <c r="N84" i="25"/>
  <c r="M84" i="25"/>
  <c r="L84" i="25"/>
  <c r="K84" i="25"/>
  <c r="J84" i="25"/>
  <c r="X83" i="25"/>
  <c r="W81" i="25"/>
  <c r="W82" i="25" s="1"/>
  <c r="U81" i="25"/>
  <c r="U82" i="25" s="1"/>
  <c r="M81" i="25"/>
  <c r="M82" i="25" s="1"/>
  <c r="K81" i="25"/>
  <c r="K82" i="25" s="1"/>
  <c r="J81" i="25"/>
  <c r="J82" i="25" s="1"/>
  <c r="B81" i="25"/>
  <c r="B82" i="25" s="1"/>
  <c r="F80" i="25"/>
  <c r="D80" i="25"/>
  <c r="D81" i="25" s="1"/>
  <c r="D82" i="25" s="1"/>
  <c r="H79" i="25"/>
  <c r="H81" i="25" s="1"/>
  <c r="H82" i="25" s="1"/>
  <c r="G79" i="25"/>
  <c r="G81" i="25" s="1"/>
  <c r="G82" i="25" s="1"/>
  <c r="X78" i="25"/>
  <c r="F78" i="25"/>
  <c r="X77" i="25"/>
  <c r="X76" i="25"/>
  <c r="X75" i="25"/>
  <c r="X74" i="25"/>
  <c r="F81" i="25"/>
  <c r="F82" i="25" s="1"/>
  <c r="X72" i="25"/>
  <c r="X71" i="25"/>
  <c r="X70" i="25"/>
  <c r="X69" i="25"/>
  <c r="X68" i="25"/>
  <c r="X67" i="25"/>
  <c r="X66" i="25"/>
  <c r="X65" i="25"/>
  <c r="X64" i="25"/>
  <c r="X63" i="25"/>
  <c r="X62" i="25"/>
  <c r="X61" i="25"/>
  <c r="L81" i="25"/>
  <c r="L82" i="25" s="1"/>
  <c r="X59" i="25"/>
  <c r="X58" i="25"/>
  <c r="X56" i="25"/>
  <c r="Q56" i="25"/>
  <c r="E56" i="25"/>
  <c r="X55" i="25"/>
  <c r="X54" i="25"/>
  <c r="V53" i="25"/>
  <c r="V81" i="25" s="1"/>
  <c r="V82" i="25" s="1"/>
  <c r="X52" i="25"/>
  <c r="X51" i="25"/>
  <c r="X50" i="25"/>
  <c r="X49" i="25"/>
  <c r="S47" i="25"/>
  <c r="Q47" i="25"/>
  <c r="X47" i="25"/>
  <c r="X46" i="25"/>
  <c r="X45" i="25"/>
  <c r="X44" i="25"/>
  <c r="X43" i="25"/>
  <c r="X42" i="25"/>
  <c r="X41" i="25"/>
  <c r="X40" i="25"/>
  <c r="X39" i="25"/>
  <c r="X38" i="25"/>
  <c r="P36" i="25"/>
  <c r="P81" i="25" s="1"/>
  <c r="E36" i="25"/>
  <c r="X35" i="25"/>
  <c r="X34" i="25"/>
  <c r="T33" i="25"/>
  <c r="T81" i="25" s="1"/>
  <c r="T82" i="25" s="1"/>
  <c r="S33" i="25"/>
  <c r="R33" i="25"/>
  <c r="O33" i="25"/>
  <c r="O81" i="25" s="1"/>
  <c r="C33" i="25"/>
  <c r="C81" i="25" s="1"/>
  <c r="C82" i="25" s="1"/>
  <c r="X32" i="25"/>
  <c r="I31" i="25"/>
  <c r="I81" i="25" s="1"/>
  <c r="I82" i="25" s="1"/>
  <c r="X30" i="25"/>
  <c r="X29" i="25"/>
  <c r="X28" i="25"/>
  <c r="X27" i="25"/>
  <c r="X26" i="25"/>
  <c r="X25" i="25"/>
  <c r="X24" i="25"/>
  <c r="X23" i="25"/>
  <c r="X22" i="25"/>
  <c r="X21" i="25"/>
  <c r="Q21" i="25"/>
  <c r="Q81" i="25" s="1"/>
  <c r="R20" i="25"/>
  <c r="R81" i="25" s="1"/>
  <c r="X19" i="25"/>
  <c r="X18" i="25"/>
  <c r="X17" i="25"/>
  <c r="E81" i="25"/>
  <c r="E82" i="25" s="1"/>
  <c r="X16" i="25"/>
  <c r="X13" i="25"/>
  <c r="X12" i="25"/>
  <c r="X11" i="25"/>
  <c r="X10" i="25"/>
  <c r="X9" i="25"/>
  <c r="X8" i="25"/>
  <c r="S81" i="25" l="1"/>
  <c r="S82" i="25" s="1"/>
  <c r="X57" i="27"/>
  <c r="N57" i="27"/>
  <c r="AD33" i="23"/>
  <c r="X36" i="25"/>
  <c r="AF36" i="25" s="1"/>
  <c r="AD61" i="27"/>
  <c r="AQ16" i="27"/>
  <c r="X80" i="25"/>
  <c r="N48" i="27"/>
  <c r="X48" i="27" s="1"/>
  <c r="N37" i="27"/>
  <c r="X37" i="27" s="1"/>
  <c r="Q84" i="27"/>
  <c r="Q84" i="23"/>
  <c r="AD65" i="27"/>
  <c r="P84" i="23"/>
  <c r="AF52" i="23"/>
  <c r="AG52" i="23" s="1"/>
  <c r="AN52" i="23" s="1"/>
  <c r="AO55" i="23"/>
  <c r="AK55" i="23"/>
  <c r="AN55" i="23"/>
  <c r="AJ55" i="23"/>
  <c r="AM55" i="23"/>
  <c r="AI55" i="23"/>
  <c r="AL55" i="23"/>
  <c r="AE81" i="23"/>
  <c r="AD8" i="23"/>
  <c r="AF43" i="23"/>
  <c r="AG43" i="23" s="1"/>
  <c r="AL71" i="23"/>
  <c r="AO71" i="23"/>
  <c r="AK71" i="23"/>
  <c r="AN71" i="23"/>
  <c r="AJ71" i="23"/>
  <c r="AM71" i="23"/>
  <c r="AI71" i="23"/>
  <c r="AQ81" i="23"/>
  <c r="AL62" i="23"/>
  <c r="AO62" i="23"/>
  <c r="AK62" i="23"/>
  <c r="AN62" i="23"/>
  <c r="AJ62" i="23"/>
  <c r="AI62" i="23"/>
  <c r="AM62" i="23"/>
  <c r="AF39" i="23"/>
  <c r="AG39" i="23" s="1"/>
  <c r="X84" i="23"/>
  <c r="N81" i="23"/>
  <c r="X14" i="23"/>
  <c r="AD51" i="27"/>
  <c r="AF46" i="27"/>
  <c r="AF41" i="27"/>
  <c r="AD66" i="27"/>
  <c r="AF42" i="27"/>
  <c r="AD67" i="27"/>
  <c r="AD63" i="27"/>
  <c r="AF44" i="27"/>
  <c r="AF62" i="27"/>
  <c r="AG62" i="27" s="1"/>
  <c r="P82" i="27"/>
  <c r="P84" i="27"/>
  <c r="X84" i="27"/>
  <c r="AF45" i="27"/>
  <c r="AD45" i="27"/>
  <c r="AD33" i="27"/>
  <c r="AF33" i="27"/>
  <c r="AF39" i="27" s="1"/>
  <c r="AG39" i="27" s="1"/>
  <c r="X14" i="27"/>
  <c r="N81" i="27"/>
  <c r="AH77" i="27"/>
  <c r="AP81" i="27"/>
  <c r="AH72" i="27"/>
  <c r="AQ81" i="27"/>
  <c r="AF71" i="27"/>
  <c r="AG71" i="27" s="1"/>
  <c r="AD47" i="27"/>
  <c r="AF47" i="27"/>
  <c r="O84" i="27"/>
  <c r="F81" i="27"/>
  <c r="F82" i="27" s="1"/>
  <c r="AD69" i="27"/>
  <c r="AE8" i="27"/>
  <c r="E81" i="27"/>
  <c r="E82" i="27" s="1"/>
  <c r="AF54" i="27"/>
  <c r="AF53" i="27"/>
  <c r="AF55" i="27" s="1"/>
  <c r="AG55" i="27" s="1"/>
  <c r="AF32" i="27"/>
  <c r="AN16" i="27"/>
  <c r="AH16" i="27" s="1"/>
  <c r="P84" i="25"/>
  <c r="P82" i="25"/>
  <c r="X84" i="25"/>
  <c r="O84" i="25"/>
  <c r="O82" i="25"/>
  <c r="R84" i="25"/>
  <c r="R82" i="25"/>
  <c r="Q84" i="25"/>
  <c r="Q82" i="25"/>
  <c r="X20" i="25"/>
  <c r="AI20" i="25" s="1"/>
  <c r="AH20" i="25" s="1"/>
  <c r="X33" i="25"/>
  <c r="X31" i="25"/>
  <c r="X53" i="25"/>
  <c r="X60" i="25"/>
  <c r="AF60" i="25" s="1"/>
  <c r="X79" i="25"/>
  <c r="AQ79" i="25" s="1"/>
  <c r="AH79" i="25" s="1"/>
  <c r="X73" i="25"/>
  <c r="AQ80" i="25"/>
  <c r="AH80" i="25" s="1"/>
  <c r="AD78" i="25"/>
  <c r="AQ78" i="25"/>
  <c r="AH78" i="25" s="1"/>
  <c r="AP77" i="25"/>
  <c r="AQ76" i="25"/>
  <c r="AH76" i="25" s="1"/>
  <c r="AQ75" i="25"/>
  <c r="AH75" i="25" s="1"/>
  <c r="AQ74" i="25"/>
  <c r="AH74" i="25" s="1"/>
  <c r="AQ72" i="25"/>
  <c r="AH72" i="25" s="1"/>
  <c r="AC71" i="25"/>
  <c r="AF70" i="25"/>
  <c r="AN70" i="25" s="1"/>
  <c r="AH70" i="25" s="1"/>
  <c r="AE69" i="25"/>
  <c r="AN69" i="25" s="1"/>
  <c r="AH69" i="25" s="1"/>
  <c r="AH68" i="25"/>
  <c r="AD68" i="25"/>
  <c r="AH67" i="25"/>
  <c r="AD67" i="25"/>
  <c r="AH66" i="25"/>
  <c r="AD66" i="25"/>
  <c r="AH65" i="25"/>
  <c r="AF65" i="25"/>
  <c r="AD65" i="25"/>
  <c r="AH64" i="25"/>
  <c r="AD64" i="25"/>
  <c r="AH63" i="25"/>
  <c r="AF63" i="25"/>
  <c r="AD63" i="25"/>
  <c r="AC62" i="25"/>
  <c r="AH61" i="25"/>
  <c r="AD61" i="25"/>
  <c r="AH60" i="25"/>
  <c r="AF59" i="25"/>
  <c r="AD58" i="25"/>
  <c r="AF58" i="25"/>
  <c r="AF57" i="25"/>
  <c r="N57" i="25" s="1"/>
  <c r="X57" i="25" s="1"/>
  <c r="AD57" i="25"/>
  <c r="AH56" i="25"/>
  <c r="AF56" i="25"/>
  <c r="AC55" i="25"/>
  <c r="AH54" i="25"/>
  <c r="AD54" i="25"/>
  <c r="AF54" i="25"/>
  <c r="AH53" i="25"/>
  <c r="AF53" i="25"/>
  <c r="AC52" i="25"/>
  <c r="AH51" i="25"/>
  <c r="AD51" i="25"/>
  <c r="AF51" i="25"/>
  <c r="AH50" i="25"/>
  <c r="AF50" i="25"/>
  <c r="AF49" i="25"/>
  <c r="AD49" i="25"/>
  <c r="AF48" i="25"/>
  <c r="N48" i="25" s="1"/>
  <c r="X48" i="25" s="1"/>
  <c r="AD48" i="25"/>
  <c r="AH47" i="25"/>
  <c r="AD47" i="25"/>
  <c r="AH46" i="25"/>
  <c r="AF46" i="25"/>
  <c r="AD46" i="25"/>
  <c r="AH45" i="25"/>
  <c r="AF45" i="25"/>
  <c r="AD45" i="25"/>
  <c r="AH44" i="25"/>
  <c r="AF44" i="25"/>
  <c r="AD44" i="25"/>
  <c r="AC43" i="25"/>
  <c r="AH42" i="25"/>
  <c r="AF42" i="25"/>
  <c r="AH41" i="25"/>
  <c r="AF41" i="25"/>
  <c r="AH40" i="25"/>
  <c r="AF40" i="25"/>
  <c r="AC39" i="25"/>
  <c r="AF38" i="25"/>
  <c r="AD38" i="25"/>
  <c r="AF37" i="25"/>
  <c r="N37" i="25" s="1"/>
  <c r="X37" i="25" s="1"/>
  <c r="AD37" i="25"/>
  <c r="AH36" i="25"/>
  <c r="AH35" i="25"/>
  <c r="AF35" i="25"/>
  <c r="AH34" i="25"/>
  <c r="AD34" i="25"/>
  <c r="AF34" i="25"/>
  <c r="AH33" i="25"/>
  <c r="AH32" i="25"/>
  <c r="AF32" i="25"/>
  <c r="AD32" i="25"/>
  <c r="AH30" i="25"/>
  <c r="AD30" i="25"/>
  <c r="AH29" i="25"/>
  <c r="AD29" i="25"/>
  <c r="AH28" i="25"/>
  <c r="AD28" i="25"/>
  <c r="AH27" i="25"/>
  <c r="AD27" i="25"/>
  <c r="AH26" i="25"/>
  <c r="AD26" i="25"/>
  <c r="AN25" i="25"/>
  <c r="AH25" i="25" s="1"/>
  <c r="AN24" i="25"/>
  <c r="AH24" i="25" s="1"/>
  <c r="AN23" i="25"/>
  <c r="AH23" i="25" s="1"/>
  <c r="AI22" i="25"/>
  <c r="AH22" i="25" s="1"/>
  <c r="AI21" i="25"/>
  <c r="AH21" i="25" s="1"/>
  <c r="AI19" i="25"/>
  <c r="AH19" i="25" s="1"/>
  <c r="AI18" i="25"/>
  <c r="AH18" i="25" s="1"/>
  <c r="AI17" i="25"/>
  <c r="AH17" i="25" s="1"/>
  <c r="AQ16" i="25"/>
  <c r="AN16" i="25"/>
  <c r="AH15" i="25"/>
  <c r="AI14" i="25"/>
  <c r="AH14" i="25" s="1"/>
  <c r="N14" i="25" s="1"/>
  <c r="AD14" i="25"/>
  <c r="AH13" i="25"/>
  <c r="AE13" i="25" s="1"/>
  <c r="AD13" i="25" s="1"/>
  <c r="AH12" i="25"/>
  <c r="AE12" i="25" s="1"/>
  <c r="AD12" i="25"/>
  <c r="AH11" i="25"/>
  <c r="AE11" i="25" s="1"/>
  <c r="AD11" i="25" s="1"/>
  <c r="AH10" i="25"/>
  <c r="AE10" i="25" s="1"/>
  <c r="AD10" i="25"/>
  <c r="AH9" i="25"/>
  <c r="AE9" i="25" s="1"/>
  <c r="AD9" i="25"/>
  <c r="AH8" i="25"/>
  <c r="AD69" i="25" l="1"/>
  <c r="AF43" i="27"/>
  <c r="AG43" i="27" s="1"/>
  <c r="AM43" i="27" s="1"/>
  <c r="AI52" i="23"/>
  <c r="AK52" i="23"/>
  <c r="AM52" i="23"/>
  <c r="AO52" i="23"/>
  <c r="AJ52" i="23"/>
  <c r="AL52" i="23"/>
  <c r="AF81" i="23"/>
  <c r="AH55" i="23"/>
  <c r="AN43" i="23"/>
  <c r="AJ43" i="23"/>
  <c r="AM43" i="23"/>
  <c r="AI43" i="23"/>
  <c r="AH43" i="23" s="1"/>
  <c r="AL43" i="23"/>
  <c r="AK43" i="23"/>
  <c r="AO43" i="23"/>
  <c r="AH71" i="23"/>
  <c r="AD15" i="23"/>
  <c r="A15" i="23" s="1"/>
  <c r="AN39" i="23"/>
  <c r="AN81" i="23" s="1"/>
  <c r="AJ39" i="23"/>
  <c r="AM39" i="23"/>
  <c r="AI39" i="23"/>
  <c r="AG81" i="23"/>
  <c r="AO39" i="23"/>
  <c r="AL39" i="23"/>
  <c r="AK39" i="23"/>
  <c r="AH62" i="23"/>
  <c r="N81" i="25"/>
  <c r="X14" i="25"/>
  <c r="AO43" i="27"/>
  <c r="AK43" i="27"/>
  <c r="AN43" i="27"/>
  <c r="AI43" i="27"/>
  <c r="AJ43" i="27"/>
  <c r="AF52" i="27"/>
  <c r="AG52" i="27" s="1"/>
  <c r="AM52" i="27" s="1"/>
  <c r="AJ71" i="27"/>
  <c r="AN71" i="27"/>
  <c r="AM71" i="27"/>
  <c r="AK71" i="27"/>
  <c r="AO71" i="27"/>
  <c r="AI71" i="27"/>
  <c r="AL71" i="27"/>
  <c r="AL39" i="27"/>
  <c r="AI39" i="27"/>
  <c r="AM39" i="27"/>
  <c r="AO39" i="27"/>
  <c r="AJ39" i="27"/>
  <c r="AN39" i="27"/>
  <c r="AK39" i="27"/>
  <c r="AI55" i="27"/>
  <c r="AM55" i="27"/>
  <c r="AJ55" i="27"/>
  <c r="AN55" i="27"/>
  <c r="AK55" i="27"/>
  <c r="AO55" i="27"/>
  <c r="AL55" i="27"/>
  <c r="AD8" i="27"/>
  <c r="AE81" i="27"/>
  <c r="AJ62" i="27"/>
  <c r="AN62" i="27"/>
  <c r="AI62" i="27"/>
  <c r="AM62" i="27"/>
  <c r="AK62" i="27"/>
  <c r="AO62" i="27"/>
  <c r="AL62" i="27"/>
  <c r="AF43" i="25"/>
  <c r="AG43" i="25" s="1"/>
  <c r="AN43" i="25" s="1"/>
  <c r="AF55" i="25"/>
  <c r="AG55" i="25" s="1"/>
  <c r="AJ55" i="25" s="1"/>
  <c r="AF47" i="25"/>
  <c r="AF52" i="25" s="1"/>
  <c r="AG52" i="25" s="1"/>
  <c r="AF67" i="25"/>
  <c r="AD35" i="25"/>
  <c r="AD53" i="25"/>
  <c r="AF66" i="25"/>
  <c r="AD40" i="25"/>
  <c r="AD41" i="25"/>
  <c r="AD42" i="25"/>
  <c r="AF61" i="25"/>
  <c r="AF62" i="25" s="1"/>
  <c r="AG62" i="25" s="1"/>
  <c r="AF64" i="25"/>
  <c r="AL43" i="25"/>
  <c r="AJ43" i="25"/>
  <c r="AI43" i="25"/>
  <c r="AK43" i="25"/>
  <c r="AO43" i="25"/>
  <c r="AM55" i="25"/>
  <c r="AE8" i="25"/>
  <c r="AI16" i="25"/>
  <c r="AH16" i="25" s="1"/>
  <c r="AP81" i="25"/>
  <c r="AH77" i="25"/>
  <c r="AQ73" i="25"/>
  <c r="AH73" i="25" s="1"/>
  <c r="W86" i="45"/>
  <c r="V86" i="45"/>
  <c r="U86" i="45"/>
  <c r="T86" i="45"/>
  <c r="S86" i="45"/>
  <c r="R86" i="45"/>
  <c r="Q86" i="45"/>
  <c r="P86" i="45"/>
  <c r="O86" i="45"/>
  <c r="N86" i="45"/>
  <c r="M86" i="45"/>
  <c r="L86" i="45"/>
  <c r="K86" i="45"/>
  <c r="J86" i="45"/>
  <c r="I86" i="45"/>
  <c r="H86" i="45"/>
  <c r="G86" i="45"/>
  <c r="F86" i="45"/>
  <c r="E86" i="45"/>
  <c r="D86" i="45"/>
  <c r="C86" i="45"/>
  <c r="B86" i="45"/>
  <c r="W84" i="45"/>
  <c r="V84" i="45"/>
  <c r="U84" i="45"/>
  <c r="T84" i="45"/>
  <c r="S84" i="45"/>
  <c r="N84" i="45"/>
  <c r="M84" i="45"/>
  <c r="L84" i="45"/>
  <c r="K84" i="45"/>
  <c r="J84" i="45"/>
  <c r="X83" i="45"/>
  <c r="R82" i="45"/>
  <c r="I82" i="45"/>
  <c r="W81" i="45"/>
  <c r="W82" i="45" s="1"/>
  <c r="U81" i="45"/>
  <c r="U82" i="45" s="1"/>
  <c r="S81" i="45"/>
  <c r="S82" i="45" s="1"/>
  <c r="R81" i="45"/>
  <c r="R84" i="45" s="1"/>
  <c r="Q81" i="45"/>
  <c r="Q82" i="45" s="1"/>
  <c r="P81" i="45"/>
  <c r="P84" i="45" s="1"/>
  <c r="O81" i="45"/>
  <c r="O84" i="45" s="1"/>
  <c r="M81" i="45"/>
  <c r="M82" i="45" s="1"/>
  <c r="L81" i="45"/>
  <c r="L82" i="45" s="1"/>
  <c r="K81" i="45"/>
  <c r="K82" i="45" s="1"/>
  <c r="J81" i="45"/>
  <c r="J82" i="45" s="1"/>
  <c r="I81" i="45"/>
  <c r="H81" i="45"/>
  <c r="H82" i="45" s="1"/>
  <c r="G81" i="45"/>
  <c r="G82" i="45" s="1"/>
  <c r="F81" i="45"/>
  <c r="F82" i="45" s="1"/>
  <c r="E81" i="45"/>
  <c r="E82" i="45" s="1"/>
  <c r="D81" i="45"/>
  <c r="D82" i="45" s="1"/>
  <c r="C81" i="45"/>
  <c r="C82" i="45" s="1"/>
  <c r="B81" i="45"/>
  <c r="B82" i="45" s="1"/>
  <c r="X80" i="45"/>
  <c r="AQ80" i="45" s="1"/>
  <c r="AH80" i="45" s="1"/>
  <c r="X79" i="45"/>
  <c r="AQ79" i="45" s="1"/>
  <c r="AH79" i="45" s="1"/>
  <c r="AD78" i="45"/>
  <c r="X78" i="45"/>
  <c r="AQ78" i="45" s="1"/>
  <c r="AH78" i="45" s="1"/>
  <c r="X77" i="45"/>
  <c r="AP77" i="45" s="1"/>
  <c r="AH77" i="45" s="1"/>
  <c r="AQ76" i="45"/>
  <c r="AH76" i="45" s="1"/>
  <c r="X76" i="45"/>
  <c r="X75" i="45"/>
  <c r="AQ75" i="45" s="1"/>
  <c r="AH75" i="45" s="1"/>
  <c r="AQ74" i="45"/>
  <c r="AH74" i="45"/>
  <c r="X74" i="45"/>
  <c r="X73" i="45"/>
  <c r="AQ73" i="45" s="1"/>
  <c r="AH73" i="45" s="1"/>
  <c r="X72" i="45"/>
  <c r="AQ72" i="45" s="1"/>
  <c r="AH72" i="45" s="1"/>
  <c r="AC71" i="45"/>
  <c r="X71" i="45"/>
  <c r="AN70" i="45"/>
  <c r="AH70" i="45"/>
  <c r="X70" i="45"/>
  <c r="AN69" i="45"/>
  <c r="AH69" i="45"/>
  <c r="AD69" i="45"/>
  <c r="X69" i="45"/>
  <c r="AH68" i="45"/>
  <c r="X68" i="45"/>
  <c r="AF68" i="45" s="1"/>
  <c r="AH67" i="45"/>
  <c r="AD67" i="45"/>
  <c r="X67" i="45"/>
  <c r="AF67" i="45" s="1"/>
  <c r="AH66" i="45"/>
  <c r="X66" i="45"/>
  <c r="AF66" i="45" s="1"/>
  <c r="AH65" i="45"/>
  <c r="AF65" i="45"/>
  <c r="X65" i="45"/>
  <c r="AD65" i="45" s="1"/>
  <c r="AH64" i="45"/>
  <c r="AD64" i="45"/>
  <c r="X64" i="45"/>
  <c r="AF64" i="45" s="1"/>
  <c r="AH63" i="45"/>
  <c r="AF63" i="45"/>
  <c r="AD63" i="45"/>
  <c r="X63" i="45"/>
  <c r="AC62" i="45"/>
  <c r="X62" i="45"/>
  <c r="AH61" i="45"/>
  <c r="X61" i="45"/>
  <c r="AF61" i="45" s="1"/>
  <c r="AH60" i="45"/>
  <c r="X60" i="45"/>
  <c r="AF60" i="45" s="1"/>
  <c r="X59" i="45"/>
  <c r="AF59" i="45" s="1"/>
  <c r="AF58" i="45"/>
  <c r="X58" i="45"/>
  <c r="AF57" i="45"/>
  <c r="AD57" i="45"/>
  <c r="X57" i="45"/>
  <c r="AH56" i="45"/>
  <c r="X56" i="45"/>
  <c r="AF56" i="45" s="1"/>
  <c r="AC55" i="45"/>
  <c r="X55" i="45"/>
  <c r="AH54" i="45"/>
  <c r="X54" i="45"/>
  <c r="AD54" i="45" s="1"/>
  <c r="AH53" i="45"/>
  <c r="V53" i="45"/>
  <c r="V81" i="45" s="1"/>
  <c r="V82" i="45" s="1"/>
  <c r="AC52" i="45"/>
  <c r="X52" i="45"/>
  <c r="AH51" i="45"/>
  <c r="X51" i="45"/>
  <c r="AD51" i="45" s="1"/>
  <c r="AH50" i="45"/>
  <c r="X50" i="45"/>
  <c r="AF50" i="45" s="1"/>
  <c r="AF49" i="45"/>
  <c r="AD49" i="45"/>
  <c r="X49" i="45"/>
  <c r="AD48" i="45"/>
  <c r="N48" i="45"/>
  <c r="X48" i="45" s="1"/>
  <c r="AF48" i="45" s="1"/>
  <c r="AH47" i="45"/>
  <c r="X47" i="45"/>
  <c r="AD47" i="45" s="1"/>
  <c r="AH46" i="45"/>
  <c r="AD46" i="45"/>
  <c r="X46" i="45"/>
  <c r="AF46" i="45" s="1"/>
  <c r="AH45" i="45"/>
  <c r="X45" i="45"/>
  <c r="AD45" i="45" s="1"/>
  <c r="AH44" i="45"/>
  <c r="AD44" i="45"/>
  <c r="X44" i="45"/>
  <c r="AF44" i="45" s="1"/>
  <c r="AC43" i="45"/>
  <c r="X43" i="45"/>
  <c r="AH42" i="45"/>
  <c r="X42" i="45"/>
  <c r="AF42" i="45" s="1"/>
  <c r="AH41" i="45"/>
  <c r="AF41" i="45"/>
  <c r="X41" i="45"/>
  <c r="AD41" i="45" s="1"/>
  <c r="AH40" i="45"/>
  <c r="X40" i="45"/>
  <c r="AF40" i="45" s="1"/>
  <c r="AC39" i="45"/>
  <c r="X39" i="45"/>
  <c r="AF38" i="45"/>
  <c r="AD38" i="45"/>
  <c r="X38" i="45"/>
  <c r="AF37" i="45"/>
  <c r="AD37" i="45"/>
  <c r="X37" i="45"/>
  <c r="AH36" i="45"/>
  <c r="AF36" i="45"/>
  <c r="X36" i="45"/>
  <c r="AH35" i="45"/>
  <c r="X35" i="45"/>
  <c r="AD35" i="45" s="1"/>
  <c r="AH34" i="45"/>
  <c r="X34" i="45"/>
  <c r="AF34" i="45" s="1"/>
  <c r="AH33" i="45"/>
  <c r="T33" i="45"/>
  <c r="T81" i="45" s="1"/>
  <c r="T82" i="45" s="1"/>
  <c r="O33" i="45"/>
  <c r="AH32" i="45"/>
  <c r="X32" i="45"/>
  <c r="AF32" i="45" s="1"/>
  <c r="X31" i="45"/>
  <c r="AH30" i="45"/>
  <c r="X30" i="45"/>
  <c r="AD30" i="45" s="1"/>
  <c r="AH29" i="45"/>
  <c r="X29" i="45"/>
  <c r="AD29" i="45" s="1"/>
  <c r="AH28" i="45"/>
  <c r="X28" i="45"/>
  <c r="AD28" i="45" s="1"/>
  <c r="AH27" i="45"/>
  <c r="X27" i="45"/>
  <c r="AD27" i="45" s="1"/>
  <c r="AH26" i="45"/>
  <c r="X26" i="45"/>
  <c r="AD26" i="45" s="1"/>
  <c r="X25" i="45"/>
  <c r="AN25" i="45" s="1"/>
  <c r="AH25" i="45" s="1"/>
  <c r="AN24" i="45"/>
  <c r="AH24" i="45" s="1"/>
  <c r="X24" i="45"/>
  <c r="X23" i="45"/>
  <c r="AN23" i="45" s="1"/>
  <c r="AH23" i="45" s="1"/>
  <c r="X22" i="45"/>
  <c r="AI22" i="45" s="1"/>
  <c r="AH22" i="45" s="1"/>
  <c r="X21" i="45"/>
  <c r="AI21" i="45" s="1"/>
  <c r="AH21" i="45" s="1"/>
  <c r="X20" i="45"/>
  <c r="AI20" i="45" s="1"/>
  <c r="AH20" i="45" s="1"/>
  <c r="X19" i="45"/>
  <c r="AI19" i="45" s="1"/>
  <c r="AH19" i="45" s="1"/>
  <c r="X18" i="45"/>
  <c r="AI18" i="45" s="1"/>
  <c r="AH18" i="45" s="1"/>
  <c r="X17" i="45"/>
  <c r="AI17" i="45" s="1"/>
  <c r="AH17" i="45" s="1"/>
  <c r="AL16" i="45"/>
  <c r="AK16" i="45"/>
  <c r="AI16" i="45"/>
  <c r="X16" i="45"/>
  <c r="AQ16" i="45" s="1"/>
  <c r="AH15" i="45"/>
  <c r="AI14" i="45"/>
  <c r="AH14" i="45"/>
  <c r="N14" i="45" s="1"/>
  <c r="AD14" i="45"/>
  <c r="AH13" i="45"/>
  <c r="AE13" i="45" s="1"/>
  <c r="AD13" i="45" s="1"/>
  <c r="X13" i="45"/>
  <c r="AH12" i="45"/>
  <c r="AE12" i="45" s="1"/>
  <c r="AD12" i="45" s="1"/>
  <c r="X12" i="45"/>
  <c r="AH11" i="45"/>
  <c r="AE11" i="45"/>
  <c r="AD11" i="45" s="1"/>
  <c r="X11" i="45"/>
  <c r="AH10" i="45"/>
  <c r="AE10" i="45" s="1"/>
  <c r="AD10" i="45" s="1"/>
  <c r="X10" i="45"/>
  <c r="AH9" i="45"/>
  <c r="AE9" i="45" s="1"/>
  <c r="AD9" i="45" s="1"/>
  <c r="X9" i="45"/>
  <c r="AH8" i="45"/>
  <c r="X8" i="45"/>
  <c r="AN52" i="27" l="1"/>
  <c r="AJ16" i="45"/>
  <c r="AF47" i="45"/>
  <c r="X53" i="45"/>
  <c r="X84" i="45"/>
  <c r="AN55" i="25"/>
  <c r="AF71" i="25"/>
  <c r="AG71" i="25" s="1"/>
  <c r="AJ71" i="25" s="1"/>
  <c r="AJ52" i="27"/>
  <c r="AL43" i="27"/>
  <c r="P82" i="45"/>
  <c r="AG81" i="27"/>
  <c r="AD42" i="45"/>
  <c r="AF45" i="45"/>
  <c r="AD34" i="45"/>
  <c r="AF51" i="45"/>
  <c r="AD61" i="45"/>
  <c r="AD68" i="45"/>
  <c r="AF81" i="27"/>
  <c r="AH43" i="27"/>
  <c r="AD40" i="45"/>
  <c r="AD66" i="45"/>
  <c r="AK55" i="25"/>
  <c r="AH55" i="25" s="1"/>
  <c r="AM43" i="25"/>
  <c r="AL52" i="27"/>
  <c r="AL55" i="25"/>
  <c r="AN81" i="27"/>
  <c r="AH71" i="27"/>
  <c r="AO52" i="27"/>
  <c r="AI55" i="25"/>
  <c r="AK52" i="27"/>
  <c r="AK81" i="27" s="1"/>
  <c r="AK81" i="23"/>
  <c r="AJ81" i="23"/>
  <c r="AH52" i="23"/>
  <c r="AL81" i="23"/>
  <c r="AM81" i="23"/>
  <c r="A81" i="23"/>
  <c r="X15" i="23"/>
  <c r="X81" i="23" s="1"/>
  <c r="AO81" i="23"/>
  <c r="AH39" i="23"/>
  <c r="AI81" i="23"/>
  <c r="AD81" i="23"/>
  <c r="AI52" i="27"/>
  <c r="AH62" i="27"/>
  <c r="AH39" i="27"/>
  <c r="AH55" i="27"/>
  <c r="AJ81" i="27"/>
  <c r="AO81" i="27"/>
  <c r="AL81" i="27"/>
  <c r="AM81" i="27"/>
  <c r="AD15" i="27"/>
  <c r="A15" i="27" s="1"/>
  <c r="AO55" i="25"/>
  <c r="AI71" i="25"/>
  <c r="AN71" i="25"/>
  <c r="AL71" i="25"/>
  <c r="AJ62" i="25"/>
  <c r="AI62" i="25"/>
  <c r="AO62" i="25"/>
  <c r="AM62" i="25"/>
  <c r="AK62" i="25"/>
  <c r="AN62" i="25"/>
  <c r="AL62" i="25"/>
  <c r="AN52" i="25"/>
  <c r="AJ52" i="25"/>
  <c r="AM52" i="25"/>
  <c r="AL52" i="25"/>
  <c r="AO52" i="25"/>
  <c r="AK52" i="25"/>
  <c r="AI52" i="25"/>
  <c r="AE81" i="25"/>
  <c r="AD8" i="25"/>
  <c r="AQ81" i="25"/>
  <c r="AF33" i="25"/>
  <c r="AD33" i="25"/>
  <c r="AD15" i="25" s="1"/>
  <c r="A15" i="25" s="1"/>
  <c r="AH43" i="25"/>
  <c r="AF62" i="45"/>
  <c r="AG62" i="45" s="1"/>
  <c r="AF71" i="45"/>
  <c r="AG71" i="45" s="1"/>
  <c r="N81" i="45"/>
  <c r="X14" i="45"/>
  <c r="AF43" i="45"/>
  <c r="AG43" i="45" s="1"/>
  <c r="AQ81" i="45"/>
  <c r="AF52" i="45"/>
  <c r="AG52" i="45" s="1"/>
  <c r="AD32" i="45"/>
  <c r="Q84" i="45"/>
  <c r="AF54" i="45"/>
  <c r="AM16" i="45"/>
  <c r="AN16" i="45"/>
  <c r="AF35" i="45"/>
  <c r="AP16" i="45"/>
  <c r="AP81" i="45" s="1"/>
  <c r="X33" i="45"/>
  <c r="AE8" i="45"/>
  <c r="O82" i="45"/>
  <c r="AD53" i="45" l="1"/>
  <c r="AF53" i="45"/>
  <c r="AK71" i="25"/>
  <c r="AH71" i="25" s="1"/>
  <c r="AM71" i="25"/>
  <c r="AO71" i="25"/>
  <c r="AH52" i="27"/>
  <c r="AH81" i="27" s="1"/>
  <c r="AF55" i="45"/>
  <c r="AG55" i="45" s="1"/>
  <c r="AM55" i="45" s="1"/>
  <c r="AH81" i="23"/>
  <c r="AI81" i="27"/>
  <c r="Z83" i="27"/>
  <c r="AD81" i="27"/>
  <c r="A81" i="25"/>
  <c r="A82" i="25" s="1"/>
  <c r="X82" i="25" s="1"/>
  <c r="X15" i="25"/>
  <c r="X81" i="25" s="1"/>
  <c r="AH52" i="25"/>
  <c r="AH62" i="25"/>
  <c r="AF39" i="25"/>
  <c r="AG39" i="25" s="1"/>
  <c r="AF81" i="25"/>
  <c r="Z83" i="25"/>
  <c r="AD81" i="25"/>
  <c r="AI55" i="45"/>
  <c r="AO55" i="45"/>
  <c r="AN55" i="45"/>
  <c r="AI71" i="45"/>
  <c r="AO71" i="45"/>
  <c r="AN71" i="45"/>
  <c r="AJ71" i="45"/>
  <c r="AM71" i="45"/>
  <c r="AL71" i="45"/>
  <c r="AK71" i="45"/>
  <c r="AH16" i="45"/>
  <c r="AM43" i="45"/>
  <c r="AO43" i="45"/>
  <c r="AL43" i="45"/>
  <c r="AN43" i="45"/>
  <c r="AK43" i="45"/>
  <c r="AI43" i="45"/>
  <c r="AJ43" i="45"/>
  <c r="AE81" i="45"/>
  <c r="AD8" i="45"/>
  <c r="AL62" i="45"/>
  <c r="AK62" i="45"/>
  <c r="AJ62" i="45"/>
  <c r="AI62" i="45"/>
  <c r="AM62" i="45"/>
  <c r="AO62" i="45"/>
  <c r="AN62" i="45"/>
  <c r="AD33" i="45"/>
  <c r="AD15" i="45" s="1"/>
  <c r="AF33" i="45"/>
  <c r="AN52" i="45"/>
  <c r="AM52" i="45"/>
  <c r="AL52" i="45"/>
  <c r="AK52" i="45"/>
  <c r="AO52" i="45"/>
  <c r="AJ52" i="45"/>
  <c r="AI52" i="45"/>
  <c r="AH52" i="45" l="1"/>
  <c r="AK55" i="45"/>
  <c r="AL55" i="45"/>
  <c r="AJ55" i="45"/>
  <c r="A81" i="27"/>
  <c r="A82" i="27" s="1"/>
  <c r="X82" i="27" s="1"/>
  <c r="Z82" i="27" s="1"/>
  <c r="X15" i="27"/>
  <c r="X81" i="27" s="1"/>
  <c r="Z84" i="27" s="1"/>
  <c r="Z84" i="25"/>
  <c r="Z82" i="25"/>
  <c r="AL39" i="25"/>
  <c r="AL81" i="25" s="1"/>
  <c r="AG81" i="25"/>
  <c r="AN39" i="25"/>
  <c r="AN81" i="25" s="1"/>
  <c r="AJ39" i="25"/>
  <c r="AJ81" i="25" s="1"/>
  <c r="AK39" i="25"/>
  <c r="AK81" i="25" s="1"/>
  <c r="AI39" i="25"/>
  <c r="AO39" i="25"/>
  <c r="AO81" i="25" s="1"/>
  <c r="AM39" i="25"/>
  <c r="AM81" i="25" s="1"/>
  <c r="A15" i="45"/>
  <c r="AD81" i="45"/>
  <c r="AH43" i="45"/>
  <c r="AH62" i="45"/>
  <c r="AF39" i="45"/>
  <c r="AG39" i="45" s="1"/>
  <c r="AF81" i="45"/>
  <c r="AH55" i="45"/>
  <c r="AH71" i="45"/>
  <c r="AH39" i="25" l="1"/>
  <c r="AH81" i="25" s="1"/>
  <c r="AI81" i="25"/>
  <c r="AO39" i="45"/>
  <c r="AO81" i="45" s="1"/>
  <c r="AN39" i="45"/>
  <c r="AN81" i="45" s="1"/>
  <c r="AG81" i="45"/>
  <c r="AM39" i="45"/>
  <c r="AM81" i="45" s="1"/>
  <c r="AL39" i="45"/>
  <c r="AL81" i="45" s="1"/>
  <c r="AK39" i="45"/>
  <c r="AK81" i="45" s="1"/>
  <c r="AI39" i="45"/>
  <c r="AJ39" i="45"/>
  <c r="AJ81" i="45" s="1"/>
  <c r="Z83" i="45"/>
  <c r="X15" i="45"/>
  <c r="X81" i="45" s="1"/>
  <c r="Z84" i="45" s="1"/>
  <c r="A81" i="45"/>
  <c r="A82" i="45" s="1"/>
  <c r="X82" i="45" s="1"/>
  <c r="Z82" i="45" s="1"/>
  <c r="AH39" i="45" l="1"/>
  <c r="AH81" i="45" s="1"/>
  <c r="AI81" i="45"/>
  <c r="B42" i="44" l="1"/>
  <c r="B44" i="44" l="1"/>
  <c r="B43" i="44"/>
  <c r="B64" i="44" l="1"/>
  <c r="B59" i="44"/>
  <c r="B58" i="44"/>
  <c r="B46" i="44" l="1"/>
  <c r="B45" i="44"/>
  <c r="B61" i="44" s="1"/>
  <c r="B49" i="44"/>
  <c r="B8" i="44"/>
  <c r="C49" i="44"/>
  <c r="C59" i="44"/>
  <c r="C58" i="44"/>
  <c r="C64" i="44" l="1"/>
  <c r="B62" i="44"/>
  <c r="B65" i="44" s="1"/>
  <c r="I65" i="44" s="1"/>
  <c r="B50" i="44"/>
  <c r="D64" i="44" l="1"/>
  <c r="D49" i="44"/>
  <c r="E64" i="44"/>
  <c r="E49" i="44"/>
  <c r="D46" i="44" l="1"/>
  <c r="C46" i="44"/>
  <c r="E45" i="44"/>
  <c r="E61" i="44" s="1"/>
  <c r="D45" i="44"/>
  <c r="D61" i="44" s="1"/>
  <c r="C45" i="44"/>
  <c r="C61" i="44" s="1"/>
  <c r="E44" i="44"/>
  <c r="D44" i="44"/>
  <c r="C44" i="44"/>
  <c r="E43" i="44"/>
  <c r="D43" i="44"/>
  <c r="C43" i="44"/>
  <c r="E42" i="44"/>
  <c r="D42" i="44"/>
  <c r="C42" i="44"/>
  <c r="C8" i="44"/>
  <c r="E63" i="44"/>
  <c r="D63" i="44"/>
  <c r="E5" i="44"/>
  <c r="D5" i="44"/>
  <c r="E3" i="44"/>
  <c r="D3" i="44"/>
  <c r="D47" i="44" s="1"/>
  <c r="E58" i="44" l="1"/>
  <c r="E47" i="44"/>
  <c r="D60" i="44"/>
  <c r="D48" i="44"/>
  <c r="E60" i="44"/>
  <c r="E48" i="44"/>
  <c r="D59" i="44"/>
  <c r="C62" i="44"/>
  <c r="C65" i="44" s="1"/>
  <c r="D62" i="44"/>
  <c r="E59" i="44"/>
  <c r="D58" i="44"/>
  <c r="C50" i="44"/>
  <c r="D8" i="44"/>
  <c r="E8" i="44"/>
  <c r="D65" i="44" l="1"/>
  <c r="D66" i="44" s="1"/>
  <c r="C51" i="44"/>
  <c r="D50" i="44"/>
  <c r="D51" i="44" s="1"/>
  <c r="I60" i="44" l="1"/>
  <c r="H306" i="35" l="1"/>
  <c r="H307" i="35"/>
  <c r="H308" i="35"/>
  <c r="H309" i="35"/>
  <c r="K732" i="35"/>
  <c r="K734" i="35"/>
  <c r="K735" i="35"/>
  <c r="K736" i="35"/>
  <c r="K737" i="35"/>
  <c r="K738" i="35"/>
  <c r="L738" i="35" s="1"/>
  <c r="K740" i="35"/>
  <c r="K859" i="35"/>
  <c r="K861" i="35"/>
  <c r="K862" i="35"/>
  <c r="K863" i="35"/>
  <c r="K864" i="35"/>
  <c r="K865" i="35"/>
  <c r="K867" i="35"/>
  <c r="K746" i="35" l="1"/>
  <c r="K873" i="35"/>
  <c r="D405" i="35" l="1"/>
  <c r="W86" i="23" l="1"/>
  <c r="V86" i="23"/>
  <c r="U86" i="23"/>
  <c r="T86" i="23"/>
  <c r="S86" i="23"/>
  <c r="R86" i="23"/>
  <c r="Q86" i="23"/>
  <c r="P86" i="23"/>
  <c r="O86" i="23"/>
  <c r="N86" i="23"/>
  <c r="M86" i="23"/>
  <c r="L86" i="23"/>
  <c r="K86" i="23"/>
  <c r="J86" i="23"/>
  <c r="I86" i="23"/>
  <c r="H86" i="23"/>
  <c r="G86" i="23"/>
  <c r="F86" i="23"/>
  <c r="E86" i="23"/>
  <c r="D86" i="23"/>
  <c r="C86" i="23"/>
  <c r="B86" i="23"/>
  <c r="H305" i="35" l="1"/>
  <c r="Z83" i="23" l="1"/>
  <c r="A82" i="23"/>
  <c r="X82" i="23" l="1"/>
  <c r="Z82" i="23" s="1"/>
  <c r="E46" i="44"/>
  <c r="E62" i="44" l="1"/>
  <c r="E65" i="44" s="1"/>
  <c r="E66" i="44" s="1"/>
  <c r="E50" i="44"/>
  <c r="E51" i="44" s="1"/>
  <c r="D1019" i="35"/>
  <c r="J60" i="44" l="1"/>
  <c r="C1178" i="35"/>
  <c r="C1177" i="35"/>
  <c r="C1176" i="35"/>
  <c r="C1175" i="35"/>
  <c r="C1173" i="35"/>
  <c r="C1172" i="35"/>
  <c r="C1171" i="35"/>
  <c r="C1170" i="35"/>
  <c r="C1169" i="35"/>
  <c r="C1168" i="35"/>
  <c r="C1167" i="35"/>
  <c r="D1165" i="35"/>
  <c r="C1126" i="35"/>
  <c r="D1119" i="35"/>
  <c r="C1077" i="35" l="1"/>
  <c r="C1076" i="35"/>
  <c r="C1075" i="35"/>
  <c r="C1074" i="35"/>
  <c r="C1073" i="35"/>
  <c r="C1072" i="35"/>
  <c r="C1071" i="35"/>
  <c r="C1070" i="35"/>
  <c r="C1069" i="35"/>
  <c r="C1068" i="35"/>
  <c r="C1067" i="35"/>
  <c r="D1065" i="35"/>
  <c r="D1021" i="35"/>
  <c r="H871" i="35"/>
  <c r="H870" i="35"/>
  <c r="J869" i="35"/>
  <c r="H868" i="35"/>
  <c r="J867" i="35"/>
  <c r="H866" i="35"/>
  <c r="H864" i="35"/>
  <c r="H863" i="35"/>
  <c r="H862" i="35"/>
  <c r="I861" i="35"/>
  <c r="H860" i="35"/>
  <c r="J859" i="35"/>
  <c r="I859" i="35"/>
  <c r="H859" i="35"/>
  <c r="G859" i="35"/>
  <c r="F859" i="35"/>
  <c r="E859" i="35"/>
  <c r="D859" i="35"/>
  <c r="C859" i="35"/>
  <c r="H744" i="35"/>
  <c r="L744" i="35" s="1"/>
  <c r="H743" i="35"/>
  <c r="L743" i="35" s="1"/>
  <c r="J742" i="35"/>
  <c r="H741" i="35"/>
  <c r="J740" i="35"/>
  <c r="L740" i="35" s="1"/>
  <c r="H739" i="35"/>
  <c r="L739" i="35" s="1"/>
  <c r="H737" i="35"/>
  <c r="L737" i="35" s="1"/>
  <c r="H736" i="35"/>
  <c r="H735" i="35"/>
  <c r="L735" i="35" s="1"/>
  <c r="I734" i="35"/>
  <c r="H733" i="35"/>
  <c r="L733" i="35" s="1"/>
  <c r="J732" i="35"/>
  <c r="I732" i="35"/>
  <c r="H732" i="35"/>
  <c r="G732" i="35"/>
  <c r="F732" i="35"/>
  <c r="E732" i="35"/>
  <c r="D732" i="35"/>
  <c r="C732" i="35"/>
  <c r="L732" i="35" l="1"/>
  <c r="D411" i="35"/>
  <c r="D409" i="35"/>
  <c r="C1127" i="35" l="1"/>
  <c r="C1125" i="35"/>
  <c r="C1124" i="35"/>
  <c r="C1025" i="35"/>
  <c r="C1024" i="35"/>
  <c r="D407" i="35" l="1"/>
  <c r="E409" i="35"/>
  <c r="C741" i="35"/>
  <c r="L741" i="35" s="1"/>
  <c r="C868" i="35"/>
  <c r="E411" i="35"/>
  <c r="C863" i="35"/>
  <c r="C736" i="35"/>
  <c r="C1026" i="35"/>
  <c r="D413" i="35"/>
  <c r="C1174" i="35"/>
  <c r="C1123" i="35"/>
  <c r="C1122" i="35"/>
  <c r="C872" i="35"/>
  <c r="C745" i="35"/>
  <c r="L745" i="35" s="1"/>
  <c r="E407" i="35" l="1"/>
  <c r="J736" i="35"/>
  <c r="L736" i="35" s="1"/>
  <c r="J863" i="35"/>
  <c r="J734" i="35"/>
  <c r="J861" i="35"/>
  <c r="H861" i="35"/>
  <c r="H734" i="35"/>
  <c r="E734" i="35"/>
  <c r="E861" i="35"/>
  <c r="C1121" i="35"/>
  <c r="E413" i="35"/>
  <c r="C734" i="35"/>
  <c r="C861" i="35"/>
  <c r="D1063" i="35"/>
  <c r="D861" i="35"/>
  <c r="D734" i="35"/>
  <c r="C1023" i="35"/>
  <c r="G734" i="35"/>
  <c r="G861" i="35"/>
  <c r="F734" i="35"/>
  <c r="F861" i="35"/>
  <c r="E405" i="35"/>
  <c r="D1164" i="35"/>
  <c r="D1118" i="35"/>
  <c r="L734" i="35" l="1"/>
  <c r="D1117" i="35"/>
  <c r="D1163" i="35"/>
  <c r="D1064" i="35"/>
  <c r="D1020" i="35"/>
  <c r="I742" i="35" l="1"/>
  <c r="I869" i="35"/>
  <c r="D742" i="35"/>
  <c r="D869" i="35"/>
  <c r="G869" i="35"/>
  <c r="G742" i="35"/>
  <c r="H742" i="35"/>
  <c r="H869" i="35"/>
  <c r="C1078" i="35"/>
  <c r="C1027" i="35"/>
  <c r="F869" i="35"/>
  <c r="F742" i="35"/>
  <c r="C869" i="35"/>
  <c r="C742" i="35"/>
  <c r="E869" i="35"/>
  <c r="E742" i="35"/>
  <c r="L742" i="35" l="1"/>
  <c r="D415" i="35" l="1"/>
  <c r="E415" i="35" l="1"/>
  <c r="C1128" i="35"/>
  <c r="C1179" i="35"/>
  <c r="D1079" i="35"/>
  <c r="D1028" i="35"/>
  <c r="C1028" i="35"/>
  <c r="C1079" i="35"/>
  <c r="D1128" i="35" l="1"/>
  <c r="D1179" i="35"/>
  <c r="C918" i="35" l="1"/>
  <c r="F308" i="35"/>
  <c r="D410" i="35" s="1"/>
  <c r="C919" i="35" l="1"/>
  <c r="C457" i="35" l="1"/>
  <c r="C452" i="35"/>
  <c r="D645" i="35"/>
  <c r="C644" i="35"/>
  <c r="C451" i="35"/>
  <c r="C454" i="35"/>
  <c r="C645" i="35"/>
  <c r="F307" i="35"/>
  <c r="D408" i="35" s="1"/>
  <c r="C450" i="35"/>
  <c r="E643" i="35"/>
  <c r="G306" i="35"/>
  <c r="C920" i="35"/>
  <c r="D644" i="35"/>
  <c r="C453" i="35"/>
  <c r="E644" i="35"/>
  <c r="E645" i="35"/>
  <c r="G307" i="35"/>
  <c r="F305" i="35"/>
  <c r="D404" i="35" s="1"/>
  <c r="F306" i="35"/>
  <c r="D406" i="35" s="1"/>
  <c r="C309" i="35"/>
  <c r="F309" i="35"/>
  <c r="D412" i="35" s="1"/>
  <c r="C456" i="35"/>
  <c r="C458" i="35"/>
  <c r="C455" i="35"/>
  <c r="C308" i="35"/>
  <c r="I309" i="35" l="1"/>
  <c r="E412" i="35" s="1"/>
  <c r="I308" i="35"/>
  <c r="E410" i="35" s="1"/>
  <c r="C916" i="35"/>
  <c r="E306" i="35"/>
  <c r="K306" i="35" s="1"/>
  <c r="C306" i="35"/>
  <c r="C307" i="35"/>
  <c r="C917" i="35"/>
  <c r="C643" i="35"/>
  <c r="D306" i="35"/>
  <c r="J306" i="35" s="1"/>
  <c r="C914" i="35"/>
  <c r="D643" i="35"/>
  <c r="G305" i="35"/>
  <c r="C913" i="35"/>
  <c r="C305" i="35"/>
  <c r="I305" i="35" s="1"/>
  <c r="I306" i="35" l="1"/>
  <c r="E406" i="35" s="1"/>
  <c r="I307" i="35"/>
  <c r="E408" i="35" s="1"/>
  <c r="E404" i="35"/>
  <c r="C915" i="35"/>
  <c r="C310" i="35"/>
  <c r="C912" i="35" l="1"/>
  <c r="F310" i="35"/>
  <c r="I310" i="35" s="1"/>
  <c r="I311" i="35" s="1"/>
  <c r="E414" i="35" l="1"/>
  <c r="D414" i="35"/>
  <c r="D918" i="35" l="1"/>
  <c r="E918" i="35"/>
  <c r="E452" i="35" l="1"/>
  <c r="G308" i="35" l="1"/>
  <c r="D452" i="35"/>
  <c r="J873" i="35" l="1"/>
  <c r="J746" i="35"/>
  <c r="G746" i="35" l="1"/>
  <c r="G873" i="35"/>
  <c r="F873" i="35"/>
  <c r="F746" i="35"/>
  <c r="E873" i="35"/>
  <c r="E746" i="35"/>
  <c r="H746" i="35"/>
  <c r="H873" i="35"/>
  <c r="D746" i="35"/>
  <c r="D873" i="35"/>
  <c r="I873" i="35"/>
  <c r="I746" i="35"/>
  <c r="C746" i="35"/>
  <c r="C873" i="35"/>
  <c r="L746" i="35" l="1"/>
  <c r="C114" i="35"/>
  <c r="C112" i="35"/>
  <c r="C107" i="35"/>
  <c r="C105" i="35"/>
  <c r="C103" i="35"/>
  <c r="C108" i="35"/>
  <c r="C104" i="35" l="1"/>
  <c r="C106" i="35"/>
  <c r="C123" i="35" s="1"/>
  <c r="C573" i="35"/>
  <c r="C111" i="35"/>
  <c r="C120" i="35" s="1"/>
  <c r="C570" i="35"/>
  <c r="C569" i="35"/>
  <c r="C574" i="35"/>
  <c r="C565" i="35"/>
  <c r="C576" i="35"/>
  <c r="C109" i="35"/>
  <c r="C567" i="35"/>
  <c r="C566" i="35"/>
  <c r="C110" i="35"/>
  <c r="C122" i="35" l="1"/>
  <c r="C113" i="35"/>
  <c r="C121" i="35" s="1"/>
  <c r="C575" i="35"/>
  <c r="C577" i="35"/>
  <c r="C115" i="35"/>
  <c r="C568" i="35"/>
  <c r="C646" i="35"/>
  <c r="C459" i="35"/>
  <c r="C572" i="35"/>
  <c r="C571" i="35"/>
  <c r="C61" i="35" l="1"/>
  <c r="C116" i="35" l="1"/>
  <c r="C119" i="35" s="1"/>
  <c r="C102" i="35"/>
  <c r="C124" i="35" s="1"/>
  <c r="C921" i="35"/>
  <c r="C125" i="35" l="1"/>
  <c r="C126" i="35"/>
  <c r="C127" i="35"/>
  <c r="C117" i="35"/>
  <c r="C564" i="35"/>
  <c r="C578" i="35" s="1"/>
  <c r="C648" i="35"/>
  <c r="C649" i="35" s="1"/>
  <c r="C311" i="35"/>
  <c r="C118" i="35"/>
  <c r="C62" i="35" l="1"/>
  <c r="F311" i="35"/>
  <c r="D105" i="35" l="1"/>
  <c r="D107" i="35"/>
  <c r="D108" i="35"/>
  <c r="D106" i="35" l="1"/>
  <c r="D569" i="35"/>
  <c r="D109" i="35"/>
  <c r="D114" i="35"/>
  <c r="D112" i="35"/>
  <c r="D570" i="35"/>
  <c r="D567" i="35"/>
  <c r="D103" i="35"/>
  <c r="D458" i="35"/>
  <c r="D457" i="35"/>
  <c r="D456" i="35"/>
  <c r="D455" i="35"/>
  <c r="D454" i="35"/>
  <c r="D453" i="35"/>
  <c r="D451" i="35"/>
  <c r="D110" i="35"/>
  <c r="D920" i="35"/>
  <c r="D917" i="35"/>
  <c r="D916" i="35"/>
  <c r="D915" i="35"/>
  <c r="D913" i="35"/>
  <c r="D122" i="35" l="1"/>
  <c r="D104" i="35"/>
  <c r="D123" i="35" s="1"/>
  <c r="D113" i="35"/>
  <c r="D121" i="35" s="1"/>
  <c r="D111" i="35"/>
  <c r="D120" i="35" s="1"/>
  <c r="D307" i="35"/>
  <c r="J307" i="35" s="1"/>
  <c r="D919" i="35"/>
  <c r="G309" i="35"/>
  <c r="D309" i="35"/>
  <c r="D450" i="35"/>
  <c r="D459" i="35" s="1"/>
  <c r="D308" i="35"/>
  <c r="J308" i="35" s="1"/>
  <c r="D568" i="35"/>
  <c r="D646" i="35"/>
  <c r="D572" i="35"/>
  <c r="D566" i="35"/>
  <c r="D571" i="35"/>
  <c r="D574" i="35"/>
  <c r="D914" i="35"/>
  <c r="D565" i="35"/>
  <c r="D576" i="35"/>
  <c r="D305" i="35"/>
  <c r="J305" i="35" s="1"/>
  <c r="D61" i="35"/>
  <c r="D575" i="35"/>
  <c r="E451" i="35"/>
  <c r="J309" i="35" l="1"/>
  <c r="D115" i="35"/>
  <c r="D577" i="35"/>
  <c r="D573" i="35"/>
  <c r="D912" i="35" l="1"/>
  <c r="D921" i="35" s="1"/>
  <c r="D310" i="35"/>
  <c r="G310" i="35" l="1"/>
  <c r="J310" i="35" s="1"/>
  <c r="J311" i="35" s="1"/>
  <c r="D116" i="35"/>
  <c r="D119" i="35" s="1"/>
  <c r="D102" i="35"/>
  <c r="D311" i="35"/>
  <c r="D124" i="35" l="1"/>
  <c r="D126" i="35" s="1"/>
  <c r="D118" i="35"/>
  <c r="D117" i="35"/>
  <c r="D62" i="35"/>
  <c r="D564" i="35"/>
  <c r="D578" i="35" s="1"/>
  <c r="D648" i="35"/>
  <c r="D649" i="35" s="1"/>
  <c r="G311" i="35"/>
  <c r="D127" i="35" l="1"/>
  <c r="D125" i="35"/>
  <c r="E114" i="35"/>
  <c r="E112" i="35"/>
  <c r="E108" i="35"/>
  <c r="E107" i="35"/>
  <c r="E105" i="35"/>
  <c r="E103" i="35"/>
  <c r="E458" i="35"/>
  <c r="E457" i="35"/>
  <c r="E456" i="35"/>
  <c r="E455" i="35"/>
  <c r="E454" i="35"/>
  <c r="E453" i="35"/>
  <c r="E109" i="35"/>
  <c r="E110" i="35"/>
  <c r="E122" i="35" l="1"/>
  <c r="E104" i="35"/>
  <c r="E106" i="35"/>
  <c r="E914" i="35"/>
  <c r="E309" i="35"/>
  <c r="E450" i="35"/>
  <c r="E459" i="35" s="1"/>
  <c r="E308" i="35"/>
  <c r="K308" i="35" s="1"/>
  <c r="E570" i="35"/>
  <c r="E917" i="35"/>
  <c r="E919" i="35"/>
  <c r="E565" i="35"/>
  <c r="E569" i="35"/>
  <c r="E567" i="35"/>
  <c r="E576" i="35"/>
  <c r="E572" i="35"/>
  <c r="E568" i="35"/>
  <c r="E566" i="35"/>
  <c r="E571" i="35"/>
  <c r="E574" i="35"/>
  <c r="E123" i="35" l="1"/>
  <c r="K309" i="35"/>
  <c r="E111" i="35"/>
  <c r="E120" i="35" s="1"/>
  <c r="E115" i="35"/>
  <c r="E577" i="35"/>
  <c r="E113" i="35"/>
  <c r="E121" i="35" s="1"/>
  <c r="E646" i="35"/>
  <c r="E920" i="35"/>
  <c r="E307" i="35"/>
  <c r="K307" i="35" s="1"/>
  <c r="E305" i="35"/>
  <c r="K305" i="35" s="1"/>
  <c r="E573" i="35"/>
  <c r="E913" i="35"/>
  <c r="E61" i="35"/>
  <c r="E575" i="35"/>
  <c r="E916" i="35" l="1"/>
  <c r="E915" i="35"/>
  <c r="E102" i="35" l="1"/>
  <c r="E116" i="35"/>
  <c r="E119" i="35" s="1"/>
  <c r="E912" i="35"/>
  <c r="E921" i="35" s="1"/>
  <c r="E310" i="35"/>
  <c r="H310" i="35" s="1"/>
  <c r="H311" i="35" s="1"/>
  <c r="E124" i="35" l="1"/>
  <c r="E118" i="35"/>
  <c r="E117" i="35"/>
  <c r="E311" i="35"/>
  <c r="E648" i="35"/>
  <c r="E649" i="35" s="1"/>
  <c r="E564" i="35"/>
  <c r="E578" i="35" s="1"/>
  <c r="E126" i="35" l="1"/>
  <c r="E125" i="35"/>
  <c r="E127" i="35"/>
  <c r="K310" i="35"/>
  <c r="K311" i="35" s="1"/>
  <c r="E62" i="35"/>
</calcChain>
</file>

<file path=xl/comments1.xml><?xml version="1.0" encoding="utf-8"?>
<comments xmlns="http://schemas.openxmlformats.org/spreadsheetml/2006/main">
  <authors>
    <author>thomas Nielsen</author>
    <author>tc={90E75199-905E-4B16-9E59-54F5D32C9A0F}</author>
    <author>Anders Michael Odgaard</author>
    <author>Thomas Ahrens Nielsen</author>
    <author>Max Gunnar Ansas Guddat</author>
  </authors>
  <commentList>
    <comment ref="AQ13" authorId="0" shapeId="0">
      <text>
        <r>
          <rPr>
            <b/>
            <sz val="9"/>
            <color indexed="81"/>
            <rFont val="Tahoma"/>
            <family val="2"/>
          </rPr>
          <t>thomas Nielsen:</t>
        </r>
        <r>
          <rPr>
            <sz val="9"/>
            <color indexed="81"/>
            <rFont val="Tahoma"/>
            <family val="2"/>
          </rPr>
          <t xml:space="preserve">
alt tog på el = 51,5 TJ
80 % el biler ift. 2018 = 425 TJ  til  el (givet at en elbil har en virkningsgrad på 70) </t>
        </r>
      </text>
    </comment>
    <comment ref="AE14" authorId="0" shapeId="0">
      <text>
        <r>
          <rPr>
            <b/>
            <sz val="9"/>
            <color indexed="81"/>
            <rFont val="Tahoma"/>
            <family val="2"/>
          </rPr>
          <t>thomas Nielsen:</t>
        </r>
        <r>
          <rPr>
            <sz val="9"/>
            <color indexed="81"/>
            <rFont val="Tahoma"/>
            <family val="2"/>
          </rPr>
          <t xml:space="preserve">
Individuelle varmepumper</t>
        </r>
      </text>
    </comment>
    <comment ref="I18" authorId="0" shapeId="0">
      <text>
        <r>
          <rPr>
            <b/>
            <sz val="9"/>
            <color indexed="81"/>
            <rFont val="Tahoma"/>
            <family val="2"/>
          </rPr>
          <t>thomas Nielsen:</t>
        </r>
        <r>
          <rPr>
            <sz val="9"/>
            <color indexed="81"/>
            <rFont val="Tahoma"/>
            <family val="2"/>
          </rPr>
          <t xml:space="preserve">
4 pct. Varmeeffektivisering </t>
        </r>
      </text>
    </comment>
    <comment ref="L26" authorId="0" shapeId="0">
      <text>
        <r>
          <rPr>
            <b/>
            <sz val="9"/>
            <color indexed="81"/>
            <rFont val="Tahoma"/>
            <family val="2"/>
          </rPr>
          <t>thomas Nielsen:</t>
        </r>
        <r>
          <rPr>
            <sz val="9"/>
            <color indexed="81"/>
            <rFont val="Tahoma"/>
            <family val="2"/>
          </rPr>
          <t xml:space="preserve">
Nyt stort solcelle anlæg 153 Tj. </t>
        </r>
      </text>
    </comment>
    <comment ref="J27" authorId="0" shapeId="0">
      <text>
        <r>
          <rPr>
            <b/>
            <sz val="9"/>
            <color indexed="81"/>
            <rFont val="Tahoma"/>
            <family val="2"/>
          </rPr>
          <t>thomas Nielsen:</t>
        </r>
        <r>
          <rPr>
            <sz val="9"/>
            <color indexed="81"/>
            <rFont val="Tahoma"/>
            <family val="2"/>
          </rPr>
          <t xml:space="preserve">
- 325 TJ fra vindmøller der når en alder over 30 år. 
+ 46 nye vindmøller med en forventet merproduktion på ca. 1300 TJ</t>
        </r>
      </text>
    </comment>
    <comment ref="I45"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Varmepumpe Mjelby og langå se ark1 for beregning. 
erstattes af VP - Varmeforbrug der skal dækkes er = 35 TJ</t>
        </r>
      </text>
    </comment>
    <comment ref="I47" authorId="0" shapeId="0">
      <text>
        <r>
          <rPr>
            <b/>
            <sz val="9"/>
            <color indexed="81"/>
            <rFont val="Tahoma"/>
            <family val="2"/>
          </rPr>
          <t>thomas Nielsen:</t>
        </r>
        <r>
          <rPr>
            <sz val="9"/>
            <color indexed="81"/>
            <rFont val="Tahoma"/>
            <family val="2"/>
          </rPr>
          <t xml:space="preserve">
kedeldrift naturgas trukket ud. 18,6 
Samme mængde varme produceres på varmepumpe. Med en COP på 5,82
Lukning af Uggelhuse-Langkastrup Kraftvarmeværk 
der er ligeledes trukket ca. 12 TJ ud, der fremover skal produceres på Elkedel. </t>
        </r>
      </text>
    </comment>
    <comment ref="V53" authorId="2" shapeId="0">
      <text>
        <r>
          <rPr>
            <b/>
            <sz val="9"/>
            <color indexed="81"/>
            <rFont val="Tahoma"/>
            <family val="2"/>
          </rPr>
          <t>Viby renseanlæg</t>
        </r>
        <r>
          <rPr>
            <sz val="9"/>
            <color indexed="81"/>
            <rFont val="Tahoma"/>
            <family val="2"/>
          </rPr>
          <t xml:space="preserve">
</t>
        </r>
      </text>
    </comment>
    <comment ref="I56" authorId="3" shapeId="0">
      <text>
        <r>
          <rPr>
            <b/>
            <sz val="9"/>
            <color indexed="81"/>
            <rFont val="Tahoma"/>
            <family val="2"/>
          </rPr>
          <t>Thomas Ahrens Nielsen:</t>
        </r>
        <r>
          <rPr>
            <sz val="9"/>
            <color indexed="81"/>
            <rFont val="Tahoma"/>
            <family val="2"/>
          </rPr>
          <t xml:space="preserve">
Erstattes af solvarme</t>
        </r>
      </text>
    </comment>
    <comment ref="L60" authorId="0" shapeId="0">
      <text>
        <r>
          <rPr>
            <b/>
            <sz val="9"/>
            <color indexed="81"/>
            <rFont val="Tahoma"/>
            <family val="2"/>
          </rPr>
          <t>thomas Nielsen:</t>
        </r>
        <r>
          <rPr>
            <sz val="9"/>
            <color indexed="81"/>
            <rFont val="Tahoma"/>
            <family val="2"/>
          </rPr>
          <t xml:space="preserve">
Varmeforbrug = -4%</t>
        </r>
      </text>
    </comment>
    <comment ref="C61" authorId="2" shapeId="0">
      <text>
        <r>
          <rPr>
            <b/>
            <sz val="9"/>
            <color indexed="81"/>
            <rFont val="Tahoma"/>
            <family val="2"/>
          </rPr>
          <t>Korrigeret med faktisk brændselsfordeling til kraftvarmeproduktion på SSV3.</t>
        </r>
      </text>
    </comment>
    <comment ref="D61" authorId="2" shapeId="0">
      <text>
        <r>
          <rPr>
            <b/>
            <sz val="9"/>
            <color indexed="81"/>
            <rFont val="Tahoma"/>
            <family val="2"/>
          </rPr>
          <t>Korrigeret med faktisk brændselsfordeling til kraftvarmeproduktion på SSV3.</t>
        </r>
      </text>
    </comment>
    <comment ref="Q61" authorId="2" shapeId="0">
      <text>
        <r>
          <rPr>
            <b/>
            <sz val="9"/>
            <color indexed="81"/>
            <rFont val="Tahoma"/>
            <family val="2"/>
          </rPr>
          <t>Korrigeret med faktisk brændselsfordeling til kraftvarmeproduktion på SSV3.</t>
        </r>
      </text>
    </comment>
    <comment ref="S61" authorId="2" shapeId="0">
      <text>
        <r>
          <rPr>
            <b/>
            <sz val="9"/>
            <color indexed="81"/>
            <rFont val="Tahoma"/>
            <family val="2"/>
          </rPr>
          <t>Korrigeret med faktisk brændselsfordeling til kraftvarmeproduktion på SSV3.</t>
        </r>
        <r>
          <rPr>
            <sz val="9"/>
            <color indexed="81"/>
            <rFont val="Tahoma"/>
            <family val="2"/>
          </rPr>
          <t xml:space="preserve">
</t>
        </r>
      </text>
    </comment>
    <comment ref="F75" authorId="0" shapeId="0">
      <text>
        <r>
          <rPr>
            <b/>
            <sz val="9"/>
            <color indexed="81"/>
            <rFont val="Tahoma"/>
            <family val="2"/>
          </rPr>
          <t>thomas Nielsen:</t>
        </r>
        <r>
          <rPr>
            <sz val="9"/>
            <color indexed="81"/>
            <rFont val="Tahoma"/>
            <family val="2"/>
          </rPr>
          <t xml:space="preserve">
Øvrigvejtransport +20%
</t>
        </r>
      </text>
    </comment>
    <comment ref="G79" authorId="0" shapeId="0">
      <text>
        <r>
          <rPr>
            <b/>
            <sz val="9"/>
            <color indexed="81"/>
            <rFont val="Tahoma"/>
            <family val="2"/>
          </rPr>
          <t>thomas Nielsen:</t>
        </r>
        <r>
          <rPr>
            <sz val="9"/>
            <color indexed="81"/>
            <rFont val="Tahoma"/>
            <family val="2"/>
          </rPr>
          <t xml:space="preserve">
20% sitgning i forbrug til flytransport. </t>
        </r>
      </text>
    </comment>
    <comment ref="F80" authorId="0" shapeId="0">
      <text>
        <r>
          <rPr>
            <b/>
            <sz val="9"/>
            <color indexed="81"/>
            <rFont val="Tahoma"/>
            <family val="2"/>
          </rPr>
          <t>thomas Nielsen:</t>
        </r>
        <r>
          <rPr>
            <sz val="9"/>
            <color indexed="81"/>
            <rFont val="Tahoma"/>
            <family val="2"/>
          </rPr>
          <t xml:space="preserve">
U ændret fra 2030 BAU 
</t>
        </r>
      </text>
    </comment>
    <comment ref="Z84" authorId="4" shapeId="0">
      <text>
        <r>
          <rPr>
            <b/>
            <sz val="9"/>
            <color indexed="81"/>
            <rFont val="Tahoma"/>
            <family val="2"/>
          </rPr>
          <t>For kommuner med fjernvarmeimport: Ikke opdateret i light-regnskab.</t>
        </r>
      </text>
    </comment>
  </commentList>
</comments>
</file>

<file path=xl/comments2.xml><?xml version="1.0" encoding="utf-8"?>
<comments xmlns="http://schemas.openxmlformats.org/spreadsheetml/2006/main">
  <authors>
    <author>thomas Nielsen</author>
    <author>tc={8ACD2729-D317-462D-8215-5E253D327FB4}</author>
    <author>Anders Michael Odgaard</author>
    <author>Thomas Ahrens Nielsen</author>
    <author>Max Gunnar Ansas Guddat</author>
  </authors>
  <commentList>
    <comment ref="AQ13" authorId="0" shapeId="0">
      <text>
        <r>
          <rPr>
            <b/>
            <sz val="9"/>
            <color indexed="81"/>
            <rFont val="Tahoma"/>
            <family val="2"/>
          </rPr>
          <t>thomas Nielsen:</t>
        </r>
        <r>
          <rPr>
            <sz val="9"/>
            <color indexed="81"/>
            <rFont val="Tahoma"/>
            <family val="2"/>
          </rPr>
          <t xml:space="preserve">
elektrificering af tog = 36 TJ 
omstilling  til elbiler = 58,5 TJ
</t>
        </r>
      </text>
    </comment>
    <comment ref="AE14" authorId="0" shapeId="0">
      <text>
        <r>
          <rPr>
            <b/>
            <sz val="9"/>
            <color indexed="81"/>
            <rFont val="Tahoma"/>
            <family val="2"/>
          </rPr>
          <t>thomas Nielsen:</t>
        </r>
        <r>
          <rPr>
            <sz val="9"/>
            <color indexed="81"/>
            <rFont val="Tahoma"/>
            <family val="2"/>
          </rPr>
          <t xml:space="preserve">
Individuelle varmepumper</t>
        </r>
      </text>
    </comment>
    <comment ref="I18" authorId="0" shapeId="0">
      <text>
        <r>
          <rPr>
            <b/>
            <sz val="9"/>
            <color indexed="81"/>
            <rFont val="Tahoma"/>
            <family val="2"/>
          </rPr>
          <t>thomas Nielsen:</t>
        </r>
        <r>
          <rPr>
            <sz val="9"/>
            <color indexed="81"/>
            <rFont val="Tahoma"/>
            <family val="2"/>
          </rPr>
          <t xml:space="preserve">
4 pct. Varmeeffektivisering 
reduktion af individuel naturgas grundet den nye klima aftale. </t>
        </r>
      </text>
    </comment>
    <comment ref="L26" authorId="0" shapeId="0">
      <text>
        <r>
          <rPr>
            <b/>
            <sz val="9"/>
            <color indexed="81"/>
            <rFont val="Tahoma"/>
            <family val="2"/>
          </rPr>
          <t>thomas Nielsen:</t>
        </r>
        <r>
          <rPr>
            <sz val="9"/>
            <color indexed="81"/>
            <rFont val="Tahoma"/>
            <family val="2"/>
          </rPr>
          <t xml:space="preserve">
Nyt stort solcelle anlæg 153 Tj. </t>
        </r>
      </text>
    </comment>
    <comment ref="J27" authorId="0" shapeId="0">
      <text>
        <r>
          <rPr>
            <b/>
            <sz val="9"/>
            <color indexed="81"/>
            <rFont val="Tahoma"/>
            <family val="2"/>
          </rPr>
          <t>thomas Nielsen:</t>
        </r>
        <r>
          <rPr>
            <sz val="9"/>
            <color indexed="81"/>
            <rFont val="Tahoma"/>
            <family val="2"/>
          </rPr>
          <t xml:space="preserve">
- 325 TJ fra vindmøller der når en alder over 30 år. 
+ 46 nye vindmøller med en forventet merproduktion på ca. 1300 TJ</t>
        </r>
      </text>
    </comment>
    <comment ref="I45"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Varmepumpe Mjelby og langå se ark1 for beregning. 
erstattes af VP - Varmeforbrug der skal dækkes er = 35 TJ</t>
        </r>
      </text>
    </comment>
    <comment ref="I47" authorId="0" shapeId="0">
      <text>
        <r>
          <rPr>
            <b/>
            <sz val="9"/>
            <color indexed="81"/>
            <rFont val="Tahoma"/>
            <family val="2"/>
          </rPr>
          <t>thomas Nielsen:</t>
        </r>
        <r>
          <rPr>
            <sz val="9"/>
            <color indexed="81"/>
            <rFont val="Tahoma"/>
            <family val="2"/>
          </rPr>
          <t xml:space="preserve">
kedeldrift naturgas trukket ud. 18,6 
Samme mængde varme produceres på varmepumpe. Med en COP på 5,82
Lukning af Uggelhuse-Langkastrup Kraftvarmeværk 
der er ligeledes trukket ca. 12 TJ ud, der fremover skal produceres på Elkedel. </t>
        </r>
      </text>
    </comment>
    <comment ref="V53" authorId="2" shapeId="0">
      <text>
        <r>
          <rPr>
            <b/>
            <sz val="9"/>
            <color indexed="81"/>
            <rFont val="Tahoma"/>
            <family val="2"/>
          </rPr>
          <t>Viby renseanlæg</t>
        </r>
        <r>
          <rPr>
            <sz val="9"/>
            <color indexed="81"/>
            <rFont val="Tahoma"/>
            <family val="2"/>
          </rPr>
          <t xml:space="preserve">
</t>
        </r>
      </text>
    </comment>
    <comment ref="I56" authorId="3" shapeId="0">
      <text>
        <r>
          <rPr>
            <b/>
            <sz val="9"/>
            <color indexed="81"/>
            <rFont val="Tahoma"/>
            <family val="2"/>
          </rPr>
          <t>Thomas Ahrens Nielsen:</t>
        </r>
        <r>
          <rPr>
            <sz val="9"/>
            <color indexed="81"/>
            <rFont val="Tahoma"/>
            <family val="2"/>
          </rPr>
          <t xml:space="preserve">
Erstattes af solvarme</t>
        </r>
      </text>
    </comment>
    <comment ref="L60" authorId="0" shapeId="0">
      <text>
        <r>
          <rPr>
            <b/>
            <sz val="9"/>
            <color indexed="81"/>
            <rFont val="Tahoma"/>
            <family val="2"/>
          </rPr>
          <t>thomas Nielsen:</t>
        </r>
        <r>
          <rPr>
            <sz val="9"/>
            <color indexed="81"/>
            <rFont val="Tahoma"/>
            <family val="2"/>
          </rPr>
          <t xml:space="preserve">
Varmeforbrug = -4%</t>
        </r>
      </text>
    </comment>
    <comment ref="C61" authorId="2" shapeId="0">
      <text>
        <r>
          <rPr>
            <b/>
            <sz val="9"/>
            <color indexed="81"/>
            <rFont val="Tahoma"/>
            <family val="2"/>
          </rPr>
          <t>Korrigeret med faktisk brændselsfordeling til kraftvarmeproduktion på SSV3.</t>
        </r>
      </text>
    </comment>
    <comment ref="D61" authorId="2" shapeId="0">
      <text>
        <r>
          <rPr>
            <b/>
            <sz val="9"/>
            <color indexed="81"/>
            <rFont val="Tahoma"/>
            <family val="2"/>
          </rPr>
          <t>Korrigeret med faktisk brændselsfordeling til kraftvarmeproduktion på SSV3.</t>
        </r>
      </text>
    </comment>
    <comment ref="Q61" authorId="2" shapeId="0">
      <text>
        <r>
          <rPr>
            <b/>
            <sz val="9"/>
            <color indexed="81"/>
            <rFont val="Tahoma"/>
            <family val="2"/>
          </rPr>
          <t>Korrigeret med faktisk brændselsfordeling til kraftvarmeproduktion på SSV3.</t>
        </r>
      </text>
    </comment>
    <comment ref="S61" authorId="2" shapeId="0">
      <text>
        <r>
          <rPr>
            <b/>
            <sz val="9"/>
            <color indexed="81"/>
            <rFont val="Tahoma"/>
            <family val="2"/>
          </rPr>
          <t>Korrigeret med faktisk brændselsfordeling til kraftvarmeproduktion på SSV3.</t>
        </r>
        <r>
          <rPr>
            <sz val="9"/>
            <color indexed="81"/>
            <rFont val="Tahoma"/>
            <family val="2"/>
          </rPr>
          <t xml:space="preserve">
</t>
        </r>
      </text>
    </comment>
    <comment ref="H72" authorId="0" shapeId="0">
      <text>
        <r>
          <rPr>
            <b/>
            <sz val="9"/>
            <color indexed="81"/>
            <rFont val="Tahoma"/>
            <family val="2"/>
          </rPr>
          <t>thomas Nielsen:</t>
        </r>
        <r>
          <rPr>
            <sz val="9"/>
            <color indexed="81"/>
            <rFont val="Tahoma"/>
            <family val="2"/>
          </rPr>
          <t xml:space="preserve">
Reduceret med 21 % ift. 2018 niveau.. 
Justeret ift. Basisferemskrivning 2020, ved 380.000 elbiler. </t>
        </r>
      </text>
    </comment>
    <comment ref="G79" authorId="0" shapeId="0">
      <text>
        <r>
          <rPr>
            <b/>
            <sz val="9"/>
            <color indexed="81"/>
            <rFont val="Tahoma"/>
            <family val="2"/>
          </rPr>
          <t>thomas Nielsen:</t>
        </r>
        <r>
          <rPr>
            <sz val="9"/>
            <color indexed="81"/>
            <rFont val="Tahoma"/>
            <family val="2"/>
          </rPr>
          <t xml:space="preserve">
7 % sitgning i forbrug til flytransport. </t>
        </r>
      </text>
    </comment>
    <comment ref="F80" authorId="0" shapeId="0">
      <text>
        <r>
          <rPr>
            <b/>
            <sz val="9"/>
            <color indexed="81"/>
            <rFont val="Tahoma"/>
            <family val="2"/>
          </rPr>
          <t>thomas Nielsen:</t>
        </r>
        <r>
          <rPr>
            <sz val="9"/>
            <color indexed="81"/>
            <rFont val="Tahoma"/>
            <family val="2"/>
          </rPr>
          <t xml:space="preserve">
Søfart  -5%
</t>
        </r>
      </text>
    </comment>
    <comment ref="Z84" authorId="4" shapeId="0">
      <text>
        <r>
          <rPr>
            <b/>
            <sz val="9"/>
            <color indexed="81"/>
            <rFont val="Tahoma"/>
            <family val="2"/>
          </rPr>
          <t>For kommuner med fjernvarmeimport: Ikke opdateret i light-regnskab.</t>
        </r>
      </text>
    </comment>
  </commentList>
</comments>
</file>

<file path=xl/comments3.xml><?xml version="1.0" encoding="utf-8"?>
<comments xmlns="http://schemas.openxmlformats.org/spreadsheetml/2006/main">
  <authors>
    <author>Max Gunnar Ansas Guddat</author>
  </authors>
  <commentList>
    <comment ref="Z84" authorId="0" shapeId="0">
      <text>
        <r>
          <rPr>
            <b/>
            <sz val="9"/>
            <color indexed="81"/>
            <rFont val="Tahoma"/>
            <family val="2"/>
          </rPr>
          <t>For kommuner med fjernvarmeimport: Ikke opdateret i light-regnskab.</t>
        </r>
      </text>
    </comment>
  </commentList>
</comments>
</file>

<file path=xl/comments4.xml><?xml version="1.0" encoding="utf-8"?>
<comments xmlns="http://schemas.openxmlformats.org/spreadsheetml/2006/main">
  <authors>
    <author>Simon Stendorf Sørensen</author>
  </authors>
  <commentList>
    <comment ref="AB53" authorId="0" shapeId="0">
      <text>
        <r>
          <rPr>
            <sz val="9"/>
            <color indexed="81"/>
            <rFont val="Tahoma"/>
            <family val="2"/>
          </rPr>
          <t>Lokal blokvarme</t>
        </r>
      </text>
    </comment>
  </commentList>
</comments>
</file>

<file path=xl/comments5.xml><?xml version="1.0" encoding="utf-8"?>
<comments xmlns="http://schemas.openxmlformats.org/spreadsheetml/2006/main">
  <authors>
    <author>Anders Michael Odgaard</author>
  </authors>
  <commentList>
    <comment ref="B732" authorId="0" shapeId="0">
      <text>
        <r>
          <rPr>
            <sz val="9"/>
            <color indexed="81"/>
            <rFont val="Tahoma"/>
            <family val="2"/>
          </rPr>
          <t>Eldistributionstab er 5 % jf. Energinet.dk. Dette tillægges for at få udvidet endeligt energiforbrug.</t>
        </r>
      </text>
    </comment>
    <comment ref="H743" authorId="0" shapeId="0">
      <text>
        <r>
          <rPr>
            <b/>
            <sz val="9"/>
            <color indexed="81"/>
            <rFont val="Tahoma"/>
            <family val="2"/>
          </rPr>
          <t xml:space="preserve">Egetforbrug af varme (celle AF67) hos industrielle KV-værker.
</t>
        </r>
      </text>
    </comment>
    <comment ref="H870" authorId="0" shapeId="0">
      <text>
        <r>
          <rPr>
            <b/>
            <sz val="9"/>
            <color indexed="81"/>
            <rFont val="Tahoma"/>
            <family val="2"/>
          </rPr>
          <t>Egetforbrug af varme (celle AF67) hos industrielle KV-værker.</t>
        </r>
        <r>
          <rPr>
            <sz val="9"/>
            <color indexed="81"/>
            <rFont val="Tahoma"/>
            <family val="2"/>
          </rPr>
          <t xml:space="preserve">
</t>
        </r>
      </text>
    </comment>
    <comment ref="D1119" authorId="0" shapeId="0">
      <text>
        <r>
          <rPr>
            <b/>
            <sz val="9"/>
            <color indexed="81"/>
            <rFont val="Tahoma"/>
            <family val="2"/>
          </rPr>
          <t>Egetforbrug af varme (celle AF67) hos industrielle KV-værker.</t>
        </r>
      </text>
    </comment>
    <comment ref="D1165" authorId="0" shapeId="0">
      <text>
        <r>
          <rPr>
            <b/>
            <sz val="9"/>
            <color indexed="81"/>
            <rFont val="Tahoma"/>
            <family val="2"/>
          </rPr>
          <t>Egetforbrug af varme (celle AF67) hos industrielle KV-værker.</t>
        </r>
      </text>
    </comment>
  </commentList>
</comments>
</file>

<file path=xl/sharedStrings.xml><?xml version="1.0" encoding="utf-8"?>
<sst xmlns="http://schemas.openxmlformats.org/spreadsheetml/2006/main" count="972" uniqueCount="305">
  <si>
    <t>Brændsel</t>
  </si>
  <si>
    <t>Slutforbrug</t>
  </si>
  <si>
    <t>Samlet</t>
  </si>
  <si>
    <t>Elkomfur</t>
  </si>
  <si>
    <t>Elvandvarmer</t>
  </si>
  <si>
    <t>Elradiator</t>
  </si>
  <si>
    <t>Solvarmeanlæg</t>
  </si>
  <si>
    <t>Vandkraftanlæg</t>
  </si>
  <si>
    <t>Bølgekraftanlæg</t>
  </si>
  <si>
    <t>Busser</t>
  </si>
  <si>
    <t>Traktorer</t>
  </si>
  <si>
    <t>Skibe</t>
  </si>
  <si>
    <t>tons/indbygger</t>
  </si>
  <si>
    <t>Affaldsforbrændingsanlæg, dampturbine</t>
  </si>
  <si>
    <t>Affaldsforbrændingsanlæg, kedel</t>
  </si>
  <si>
    <t>Affaldsforbrændingsanlæg, kombianlæg</t>
  </si>
  <si>
    <t>Lokale KV-værker, motor</t>
  </si>
  <si>
    <t>Lokale KV-værker, kedel</t>
  </si>
  <si>
    <t>Belysning</t>
  </si>
  <si>
    <t>Elkompressorer</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</si>
  <si>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</si>
  <si>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</si>
  <si>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</si>
  <si>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</si>
  <si>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</si>
  <si>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</si>
  <si>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</si>
  <si>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</si>
  <si>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Fjernvarmeværker, kedel</t>
  </si>
  <si>
    <t>Decentrale KV-værker, gasturbine</t>
  </si>
  <si>
    <t>Decentrale KV-værker, kedel</t>
  </si>
  <si>
    <t>Decentrale KV-værker, kombianlæg</t>
  </si>
  <si>
    <t>Tog</t>
  </si>
  <si>
    <t>Fly</t>
  </si>
  <si>
    <t>Elimport</t>
  </si>
  <si>
    <t>Lokalt biomassepotentiale</t>
  </si>
  <si>
    <t>Decentrale KV-værker, solvarme</t>
  </si>
  <si>
    <t>Import fjernvarme</t>
  </si>
  <si>
    <t>Udnyttelsesprocent af lokalt biomassepotentiale</t>
  </si>
  <si>
    <t>Centrale kraftværker, dampturbine</t>
  </si>
  <si>
    <t>Centrale kraftværker, forbrændingsmotor</t>
  </si>
  <si>
    <t>Centrale kraftværker, gasturbine</t>
  </si>
  <si>
    <t>Centrale kraftværker, kedel</t>
  </si>
  <si>
    <t>Decentrale KV-værker, dampturbine</t>
  </si>
  <si>
    <t>Decentrale KV-værker, forbrændingsmotor</t>
  </si>
  <si>
    <t xml:space="preserve">Solcelleanlæg </t>
  </si>
  <si>
    <t>Enheder:</t>
  </si>
  <si>
    <t>TJ, tons</t>
  </si>
  <si>
    <t>Antal indbyggere:</t>
  </si>
  <si>
    <t>%</t>
  </si>
  <si>
    <t>Elnetvirkningsgrad:</t>
  </si>
  <si>
    <t>Anlægstype</t>
  </si>
  <si>
    <t>Fjernvarmenet</t>
  </si>
  <si>
    <t>Elnet</t>
  </si>
  <si>
    <t>Varmepumper, individuel</t>
  </si>
  <si>
    <t>Gasoliekedel, individuel</t>
  </si>
  <si>
    <t>Naturgaskedel, individuel</t>
  </si>
  <si>
    <t>Træpillekedel, individuel</t>
  </si>
  <si>
    <t>Brændekedel og -ovn, individuel</t>
  </si>
  <si>
    <t>Halmfyr, individuel</t>
  </si>
  <si>
    <t xml:space="preserve">Gasoliekedel, erhverv </t>
  </si>
  <si>
    <t xml:space="preserve">Naturgaskedel, erhverv </t>
  </si>
  <si>
    <t>Vindkraftanlæg, land</t>
  </si>
  <si>
    <t>Centrale kraftværker, fjernvarmeproduktion</t>
  </si>
  <si>
    <t>Affaldsforbrændingsanlæg, fjernvarmeproduktion</t>
  </si>
  <si>
    <t>Decentrale KV-værker, fjernvarmeproduktion</t>
  </si>
  <si>
    <t>Lokale KV-værker, fjernvarmeproduktion</t>
  </si>
  <si>
    <t>Industrielle KV-værker, fjernvarmeproduktion</t>
  </si>
  <si>
    <t>Benzinbiler</t>
  </si>
  <si>
    <t>Dieselbiler</t>
  </si>
  <si>
    <t>Lastbiler m.m.</t>
  </si>
  <si>
    <t>Elmotorer m.m.</t>
  </si>
  <si>
    <t>Gaskomfur, proces, m.m.</t>
  </si>
  <si>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</si>
  <si>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</si>
  <si>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</si>
  <si>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</si>
  <si>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</si>
  <si>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</si>
  <si>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</si>
  <si>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</si>
  <si>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</si>
  <si>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</si>
  <si>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</si>
  <si>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</si>
  <si>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</si>
  <si>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</si>
  <si>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</si>
  <si>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</si>
  <si>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</si>
  <si>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</si>
  <si>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</si>
  <si>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</si>
  <si>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</si>
  <si>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</si>
  <si>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</si>
  <si>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</si>
  <si>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</si>
  <si>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</si>
  <si>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</si>
  <si>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</si>
  <si>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</si>
  <si>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</si>
  <si>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</si>
  <si>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</si>
  <si>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</si>
  <si>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</si>
  <si>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</si>
  <si>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</si>
  <si>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</si>
  <si>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</si>
  <si>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</si>
  <si>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</si>
  <si>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</si>
  <si>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</si>
  <si>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Fjernvarmeværker, fjernvarmeproduktion</t>
  </si>
  <si>
    <t>Decentrale KV-værker, varmepumpe</t>
  </si>
  <si>
    <t>Decentrale KV-værker, elpatron</t>
  </si>
  <si>
    <t>Fjernvarmeværker, elpatron</t>
  </si>
  <si>
    <t>Fjernvarmeværker, geotermi</t>
  </si>
  <si>
    <t>Fjernvarmeværker, varmepumpe</t>
  </si>
  <si>
    <t>Varebiler</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</si>
  <si>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</si>
  <si>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</si>
  <si>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</si>
  <si>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</si>
  <si>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</si>
  <si>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</si>
  <si>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</si>
  <si>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</si>
  <si>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</si>
  <si>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</si>
  <si>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</si>
  <si>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</si>
  <si>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</si>
  <si>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</si>
  <si>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</si>
  <si>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</si>
  <si>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</si>
  <si>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</si>
  <si>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</si>
  <si>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</si>
  <si>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</si>
  <si>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</si>
  <si>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</si>
  <si>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</si>
  <si>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</si>
  <si>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</si>
  <si>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</si>
  <si>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</si>
  <si>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vedvarende energi og fossile brændsler</t>
  </si>
  <si>
    <t xml:space="preserve">Vedvarende energi fordelt på ressourcetyper </t>
  </si>
  <si>
    <t>Bruttoenergiforbrug fordelt på omsætningsenheder</t>
  </si>
  <si>
    <t>Individuel opvarmning</t>
  </si>
  <si>
    <t>Kollektiv el- og varmeforsyning</t>
  </si>
  <si>
    <t>Industri</t>
  </si>
  <si>
    <t>Transport</t>
  </si>
  <si>
    <t>El-import</t>
  </si>
  <si>
    <t xml:space="preserve">Brændselsforbrug fordelt på omsætningsenheder </t>
  </si>
  <si>
    <t>Bruttoenergiforbrug fordelt på omsætningsenheder for vedvarende energi og fossile brændsler</t>
  </si>
  <si>
    <t xml:space="preserve">Brug af vedvarende energi opdelt på omsætningsenheder </t>
  </si>
  <si>
    <t>Bruttoenenergiforbrug til transport</t>
  </si>
  <si>
    <t>Bruttoenenergiforbrug til transport fordelt på transportform</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</si>
  <si>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</si>
  <si>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</si>
  <si>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</si>
  <si>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</si>
  <si>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 xml:space="preserve">-udledning fordelt på omsætningsenheder </t>
    </r>
  </si>
  <si>
    <t>Udvidede endelige energiforbrug</t>
  </si>
  <si>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</si>
  <si>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</si>
  <si>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</si>
  <si>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</si>
  <si>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</si>
  <si>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</si>
  <si>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</si>
  <si>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</si>
  <si>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</si>
  <si>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</si>
  <si>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</si>
  <si>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</si>
  <si>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Slutforbrug af varme fordelt på anlægstype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</si>
  <si>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</si>
  <si>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</si>
  <si>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</si>
  <si>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</si>
  <si>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</si>
  <si>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</si>
  <si>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</si>
  <si>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</si>
  <si>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</si>
  <si>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</si>
  <si>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</si>
  <si>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</si>
  <si>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</si>
  <si>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</si>
  <si>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</si>
  <si>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</si>
  <si>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</si>
  <si>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</si>
  <si>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</si>
  <si>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</si>
  <si>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</si>
  <si>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</si>
  <si>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</si>
  <si>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</si>
  <si>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</si>
  <si>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</si>
  <si>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</si>
  <si>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</si>
  <si>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</si>
  <si>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Procesvarme fra KV-produktion</t>
  </si>
  <si>
    <t>Egetforbrug af varme, industri</t>
  </si>
  <si>
    <t>Centrale kraftværker, varmepumpe</t>
  </si>
  <si>
    <t>Centrale kraftværker, elpatron</t>
  </si>
  <si>
    <t>Biogasanlæg, motor</t>
  </si>
  <si>
    <t>Biogasanlæg, opgradering</t>
  </si>
  <si>
    <t>Industrikedel, erhverv</t>
  </si>
  <si>
    <t>Overskudsvarme</t>
  </si>
  <si>
    <t>Geotermi</t>
  </si>
  <si>
    <t>Vindkraft, kystnære</t>
  </si>
  <si>
    <t>CO2-emissioner (1.000 tons)</t>
  </si>
  <si>
    <t>CO2-emission (tons/TJ)</t>
  </si>
  <si>
    <t>BAU2030</t>
  </si>
  <si>
    <t>BAU2050</t>
  </si>
  <si>
    <t>Elbalance (produktion fordelt på anlægstype)</t>
  </si>
  <si>
    <t>Elbalance (produktion fordelt på brændsel)</t>
  </si>
  <si>
    <t>Fjernvarmebalance (produktion fordelt på anlægstype)</t>
  </si>
  <si>
    <t>Fjernvarmebalance (produktion fordelt på brændsel)</t>
  </si>
  <si>
    <t xml:space="preserve">Bruttoenenergiforbrug til transport </t>
  </si>
  <si>
    <r>
      <t>CO</t>
    </r>
    <r>
      <rPr>
        <b/>
        <vertAlign val="subscript"/>
        <sz val="10"/>
        <rFont val="Arial"/>
        <family val="2"/>
      </rPr>
      <t>2</t>
    </r>
    <r>
      <rPr>
        <b/>
        <sz val="10"/>
        <rFont val="Arial"/>
        <family val="2"/>
      </rPr>
      <t xml:space="preserve">-udledning opdelt på brændsler </t>
    </r>
  </si>
  <si>
    <t>Udvidede endelige energiforbrug fordelt på kategorier</t>
  </si>
  <si>
    <t>Udvidede endelige energiforbrug fordelt på brændsler</t>
  </si>
  <si>
    <t>Slutforbrug fordelt på kategorier</t>
  </si>
  <si>
    <t xml:space="preserve">Slutforbrug af varme opdelt på anlægstype </t>
  </si>
  <si>
    <t xml:space="preserve">Bruttoenergiforbrug opdelt på brændsler </t>
  </si>
  <si>
    <t xml:space="preserve">Bruttoenergiforbrug opdelt på vedvarende energi og fossile brændsler </t>
  </si>
  <si>
    <t xml:space="preserve">Vedvarende energi opdelt på ressourcetyper </t>
  </si>
  <si>
    <t xml:space="preserve">Bruttoenenergiforbrug til transport opdelt på transportform </t>
  </si>
  <si>
    <t xml:space="preserve">Brændselsforbrug opdelt på omsætningsenheder </t>
  </si>
  <si>
    <t>Mål2050</t>
  </si>
  <si>
    <t>BAU 2030</t>
  </si>
  <si>
    <t>BAU 2050</t>
  </si>
  <si>
    <t>Affald og spildevand</t>
  </si>
  <si>
    <t>Ton pr. indb.</t>
  </si>
  <si>
    <t>Affald</t>
  </si>
  <si>
    <t>Olie og gas</t>
  </si>
  <si>
    <t>Fast Biomasse</t>
  </si>
  <si>
    <t>1.000 tons CO2-e</t>
  </si>
  <si>
    <t>Planteavl</t>
  </si>
  <si>
    <t>Dyrehold</t>
  </si>
  <si>
    <t>Industrielle processer</t>
  </si>
  <si>
    <t>Arealanvendelse</t>
  </si>
  <si>
    <t>Landbrug og arealanvendelse</t>
  </si>
  <si>
    <t>Industri (energi)</t>
  </si>
  <si>
    <t>Fjernvarmeværker, solvarme</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</si>
  <si>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</si>
  <si>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</si>
  <si>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Øvrig energisektor</t>
  </si>
  <si>
    <t>Affald, spildevand og tilfældige brande</t>
  </si>
  <si>
    <t xml:space="preserve">Kilde: PlanEnergi Klimaregnskab 2018 </t>
  </si>
  <si>
    <t>MANKO</t>
  </si>
  <si>
    <t>Randers Kommune 2018</t>
  </si>
  <si>
    <t>% VE (Lokal)</t>
  </si>
  <si>
    <t>Randers Kommune 1990</t>
  </si>
  <si>
    <t>Randers Kommune BAU 2030</t>
  </si>
  <si>
    <t>Eltog (70%)</t>
  </si>
  <si>
    <t>Tog til el</t>
  </si>
  <si>
    <t>tj</t>
  </si>
  <si>
    <t>Olie individuel</t>
  </si>
  <si>
    <t>75 % til el</t>
  </si>
  <si>
    <t>25 % til træpiller</t>
  </si>
  <si>
    <t>Randers kommune BAU 2050</t>
  </si>
  <si>
    <t xml:space="preserve">En  el bil har iflg. Ens. Virkningsgrad på ca. 70 % modsat benzin og disel </t>
  </si>
  <si>
    <t xml:space="preserve">Disel </t>
  </si>
  <si>
    <t>forbrug der dækkes af el</t>
  </si>
  <si>
    <t>70 % effektiv</t>
  </si>
  <si>
    <t>Varebil</t>
  </si>
  <si>
    <t>jf. bilag</t>
  </si>
  <si>
    <t>Affald for deponi reduceres med 25 og 65  pct. for 2030 og 2050</t>
  </si>
  <si>
    <t>Organisk jorde reduceres med 8 % ( 8 % af de organsike landbrugsjorde er omlagt til genoversvømmet vådområder)</t>
  </si>
  <si>
    <t>Reduktionsmål</t>
  </si>
  <si>
    <t>Indbygger i Randers 2018</t>
  </si>
  <si>
    <t xml:space="preserve">Reduktion </t>
  </si>
  <si>
    <t>VP</t>
  </si>
  <si>
    <t>Mjelby</t>
  </si>
  <si>
    <t>Langå</t>
  </si>
  <si>
    <t xml:space="preserve">Naturgas/ MWH </t>
  </si>
  <si>
    <t>SOLvarme</t>
  </si>
  <si>
    <t>Elkedel</t>
  </si>
  <si>
    <t>NM3</t>
  </si>
  <si>
    <t>MJ</t>
  </si>
  <si>
    <t>Mink er ikke længere en del af del af dyrbestanden i DK, hvfor Randers Kommune reduceres med:</t>
  </si>
  <si>
    <t>ton CH4</t>
  </si>
  <si>
    <t>ton N2O</t>
  </si>
  <si>
    <t>ton CO2-ækv</t>
  </si>
  <si>
    <t>1000 ton CO2</t>
  </si>
  <si>
    <t>Fundet i bilag 2 og 3</t>
  </si>
  <si>
    <t>Vindmøller</t>
  </si>
  <si>
    <t>udlagt område til opstilling af 46 nye vindmøller</t>
  </si>
  <si>
    <t xml:space="preserve">Merproduktion på 510. mio KWh </t>
  </si>
  <si>
    <t>Mwh</t>
  </si>
  <si>
    <t>Nuværende møller</t>
  </si>
  <si>
    <t>forbrug der erstattes</t>
  </si>
  <si>
    <t>COP = 3,5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</si>
</sst>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k_r_._-;\-* #,##0.00\ _k_r_._-;_-* &quot;-&quot;??\ _k_r_._-;_-@_-"/>
    <numFmt numFmtId="164" formatCode="_-* #,##0.00_-;\-* #,##0.00_-;_-* &quot;-&quot;??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0.0%"/>
    <numFmt numFmtId="173" formatCode="_(* #,##0.00_);_(* \(#,##0.00\);_(* &quot;-&quot;??_);_(@_)"/>
    <numFmt numFmtId="174" formatCode="_(* #,##0_);_(* \(#,##0\);_(* &quot;-&quot;??_);_(@_)"/>
    <numFmt numFmtId="175" formatCode="_(* #,##0.000_);_(* \(#,##0.000\);_(* &quot;-&quot;??_);_(@_)"/>
    <numFmt numFmtId="176" formatCode="#,##0.00000000"/>
    <numFmt numFmtId="177" formatCode="_ * #,##0.0_ ;_ * \-#,##0.0_ ;_ * &quot;-&quot;??_ ;_ @_ "/>
    <numFmt numFmtId="178" formatCode="_ * #,##0_ ;_ * \-#,##0_ ;_ * &quot;-&quot;??_ ;_ @_ "/>
    <numFmt numFmtId="179" formatCode="_ * #,##0.0000_ ;_ * \-#,##0.0000_ ;_ * &quot;-&quot;??_ ;_ @_ "/>
    <numFmt numFmtId="180" formatCode="0.00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sz val="10"/>
      <color theme="0" tint="-0.249977111117893"/>
      <name val="Arial"/>
      <family val="2"/>
    </font>
    <font>
      <b/>
      <vertAlign val="subscript"/>
      <sz val="18"/>
      <name val="Arial"/>
      <family val="2"/>
    </font>
    <font>
      <sz val="10"/>
      <color theme="0"/>
      <name val="Arial"/>
      <family val="2"/>
    </font>
    <font>
      <sz val="9"/>
      <color indexed="81"/>
      <name val="Tahoma"/>
      <family val="2"/>
    </font>
    <font>
      <sz val="10"/>
      <name val="Arial"/>
      <family val="2"/>
    </font>
    <font>
      <b/>
      <sz val="9"/>
      <color indexed="81"/>
      <name val="Tahoma"/>
      <family val="2"/>
    </font>
    <font>
      <sz val="10"/>
      <name val="Courier"/>
      <family val="3"/>
    </font>
    <font>
      <sz val="10"/>
      <color rgb="FFFF0000"/>
      <name val="Arial"/>
      <family val="2"/>
    </font>
    <font>
      <b/>
      <sz val="36"/>
      <color rgb="FFFF0000"/>
      <name val="Arial"/>
      <family val="2"/>
    </font>
    <font>
      <sz val="11"/>
      <color rgb="FF006100"/>
      <name val="Calibri"/>
      <family val="2"/>
      <scheme val="minor"/>
    </font>
    <font>
      <sz val="11"/>
      <color rgb="FF9C0006"/>
      <name val="Calibri"/>
      <family val="2"/>
      <scheme val="minor"/>
    </font>
    <font>
      <sz val="10"/>
      <name val="Arial"/>
      <family val="2"/>
    </font>
    <font>
      <i/>
      <sz val="10"/>
      <name val="Arial"/>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2" tint="-9.9978637043366805E-2"/>
        <bgColor indexed="64"/>
      </patternFill>
    </fill>
    <fill>
      <patternFill patternType="solid">
        <fgColor rgb="FF99CC33"/>
        <bgColor indexed="64"/>
      </patternFill>
    </fill>
    <fill>
      <patternFill patternType="solid">
        <fgColor rgb="FF92D050"/>
        <bgColor indexed="64"/>
      </patternFill>
    </fill>
    <fill>
      <patternFill patternType="solid">
        <fgColor rgb="FFFFFF00"/>
        <bgColor indexed="64"/>
      </patternFill>
    </fill>
  </fills>
  <borders count="64">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8"/>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double">
        <color indexed="64"/>
      </bottom>
      <diagonal/>
    </border>
  </borders>
  <cellStyleXfs count="53">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165" fontId="21" fillId="0" borderId="0" applyFont="0" applyFill="0" applyBorder="0" applyAlignment="0" applyProtection="0"/>
    <xf numFmtId="17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43"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43" fontId="7" fillId="0" borderId="0" applyFont="0" applyFill="0" applyBorder="0" applyAlignment="0" applyProtection="0"/>
    <xf numFmtId="0" fontId="3" fillId="0" borderId="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6" fillId="6" borderId="0" applyNumberFormat="0" applyBorder="0" applyAlignment="0" applyProtection="0"/>
    <xf numFmtId="0" fontId="27" fillId="7" borderId="0" applyNumberFormat="0" applyBorder="0" applyAlignment="0" applyProtection="0"/>
    <xf numFmtId="9" fontId="28" fillId="0" borderId="0" applyFont="0" applyFill="0" applyBorder="0" applyAlignment="0" applyProtection="0"/>
    <xf numFmtId="0" fontId="2" fillId="0" borderId="0"/>
    <xf numFmtId="165"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441">
    <xf numFmtId="0" fontId="0" fillId="0" borderId="0" xfId="0"/>
    <xf numFmtId="0" fontId="0" fillId="2" borderId="0" xfId="0" applyFill="1"/>
    <xf numFmtId="3" fontId="7" fillId="2" borderId="37"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0" fontId="7" fillId="2" borderId="0" xfId="3" applyFill="1" applyAlignment="1">
      <alignment textRotation="90" wrapText="1"/>
    </xf>
    <xf numFmtId="3" fontId="7" fillId="0" borderId="49" xfId="3" applyNumberFormat="1" applyFill="1" applyBorder="1"/>
    <xf numFmtId="169" fontId="7" fillId="2" borderId="0" xfId="3" quotePrefix="1" applyNumberFormat="1" applyFill="1"/>
    <xf numFmtId="3" fontId="7" fillId="0" borderId="22" xfId="3" applyNumberFormat="1" applyFill="1" applyBorder="1"/>
    <xf numFmtId="3" fontId="7" fillId="0" borderId="18" xfId="3" applyNumberFormat="1" applyFill="1" applyBorder="1"/>
    <xf numFmtId="0" fontId="7" fillId="0" borderId="22" xfId="3" applyFill="1" applyBorder="1"/>
    <xf numFmtId="166" fontId="7" fillId="2" borderId="0" xfId="3" applyNumberFormat="1" applyFill="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9" fillId="2" borderId="11" xfId="3" applyNumberFormat="1" applyFont="1" applyFill="1" applyBorder="1"/>
    <xf numFmtId="3" fontId="9" fillId="2" borderId="20" xfId="3" applyNumberFormat="1" applyFont="1" applyFill="1" applyBorder="1"/>
    <xf numFmtId="0" fontId="8" fillId="2" borderId="0" xfId="3" applyFont="1" applyFill="1"/>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9" xfId="3" applyFont="1" applyFill="1" applyBorder="1"/>
    <xf numFmtId="0" fontId="7" fillId="3" borderId="0" xfId="3" applyFont="1" applyFill="1"/>
    <xf numFmtId="0" fontId="17" fillId="3" borderId="0" xfId="3" applyFont="1" applyFill="1"/>
    <xf numFmtId="0" fontId="9" fillId="4" borderId="33" xfId="3" applyFont="1" applyFill="1" applyBorder="1"/>
    <xf numFmtId="3" fontId="9" fillId="4" borderId="33" xfId="3" applyNumberFormat="1" applyFont="1" applyFill="1" applyBorder="1"/>
    <xf numFmtId="0" fontId="7" fillId="0" borderId="18" xfId="3" applyFont="1" applyFill="1" applyBorder="1"/>
    <xf numFmtId="172" fontId="17" fillId="3" borderId="0" xfId="4" applyNumberFormat="1" applyFont="1" applyFill="1"/>
    <xf numFmtId="3" fontId="7" fillId="0" borderId="0" xfId="3" applyNumberFormat="1" applyFill="1" applyBorder="1"/>
    <xf numFmtId="174" fontId="7" fillId="0" borderId="0" xfId="5" applyNumberFormat="1" applyFont="1" applyFill="1" applyBorder="1"/>
    <xf numFmtId="174" fontId="7" fillId="0" borderId="0" xfId="5" applyNumberFormat="1" applyFont="1" applyFill="1"/>
    <xf numFmtId="175" fontId="9" fillId="0" borderId="0" xfId="5" applyNumberFormat="1" applyFont="1" applyFill="1" applyBorder="1"/>
    <xf numFmtId="3" fontId="9" fillId="0" borderId="0" xfId="3" applyNumberFormat="1" applyFont="1" applyFill="1" applyBorder="1"/>
    <xf numFmtId="0" fontId="9" fillId="0" borderId="49" xfId="3" applyFont="1" applyFill="1" applyBorder="1" applyAlignment="1">
      <alignment horizontal="center"/>
    </xf>
    <xf numFmtId="0" fontId="7" fillId="0" borderId="57" xfId="3" applyFill="1" applyBorder="1"/>
    <xf numFmtId="0" fontId="7" fillId="0" borderId="57" xfId="3" applyFont="1" applyFill="1" applyBorder="1"/>
    <xf numFmtId="3" fontId="7" fillId="0" borderId="49" xfId="3" applyNumberFormat="1" applyFont="1" applyFill="1" applyBorder="1"/>
    <xf numFmtId="0" fontId="9" fillId="4" borderId="22" xfId="3" applyFont="1" applyFill="1" applyBorder="1"/>
    <xf numFmtId="3" fontId="9" fillId="4" borderId="22" xfId="3" applyNumberFormat="1" applyFont="1" applyFill="1" applyBorder="1"/>
    <xf numFmtId="3" fontId="9" fillId="4" borderId="49" xfId="3" applyNumberFormat="1" applyFont="1" applyFill="1" applyBorder="1"/>
    <xf numFmtId="174" fontId="7" fillId="0" borderId="0" xfId="3" applyNumberFormat="1" applyFill="1"/>
    <xf numFmtId="0" fontId="9" fillId="0" borderId="0" xfId="3" applyFont="1" applyFill="1"/>
    <xf numFmtId="166" fontId="7" fillId="0" borderId="0" xfId="3" applyNumberFormat="1" applyFill="1"/>
    <xf numFmtId="0" fontId="9" fillId="0" borderId="57" xfId="3" applyFont="1" applyFill="1" applyBorder="1"/>
    <xf numFmtId="0" fontId="7" fillId="0" borderId="49"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7" xfId="3" applyFont="1" applyFill="1" applyBorder="1"/>
    <xf numFmtId="0" fontId="9" fillId="0" borderId="57" xfId="3" applyFont="1" applyFill="1" applyBorder="1" applyAlignment="1">
      <alignment horizontal="center"/>
    </xf>
    <xf numFmtId="0" fontId="9" fillId="4" borderId="22" xfId="3" applyFont="1" applyFill="1" applyBorder="1" applyAlignment="1">
      <alignment horizontal="center"/>
    </xf>
    <xf numFmtId="3" fontId="7" fillId="4" borderId="22" xfId="3" applyNumberFormat="1" applyFill="1" applyBorder="1"/>
    <xf numFmtId="3" fontId="7" fillId="0" borderId="57" xfId="3" applyNumberFormat="1" applyFill="1" applyBorder="1"/>
    <xf numFmtId="3" fontId="9" fillId="4" borderId="57" xfId="3" applyNumberFormat="1" applyFont="1" applyFill="1" applyBorder="1"/>
    <xf numFmtId="171" fontId="9" fillId="0" borderId="0"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9" fillId="0" borderId="0" xfId="3" applyNumberFormat="1" applyFont="1" applyFill="1" applyBorder="1"/>
    <xf numFmtId="3" fontId="7" fillId="0" borderId="0" xfId="3" applyNumberFormat="1" applyFill="1"/>
    <xf numFmtId="0" fontId="7" fillId="3" borderId="0" xfId="3" applyFill="1" applyBorder="1"/>
    <xf numFmtId="1" fontId="7" fillId="0" borderId="57" xfId="3" applyNumberFormat="1"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4" fontId="0" fillId="3" borderId="0" xfId="5" applyNumberFormat="1" applyFont="1" applyFill="1" applyBorder="1"/>
    <xf numFmtId="1" fontId="7" fillId="0" borderId="0" xfId="3" applyNumberFormat="1" applyFont="1" applyFill="1" applyBorder="1"/>
    <xf numFmtId="2" fontId="7" fillId="0" borderId="0" xfId="5" applyNumberFormat="1" applyFill="1"/>
    <xf numFmtId="176" fontId="7" fillId="0" borderId="0" xfId="3" applyNumberFormat="1" applyFill="1"/>
    <xf numFmtId="178" fontId="7" fillId="0" borderId="0" xfId="7" applyNumberFormat="1" applyFont="1" applyFill="1"/>
    <xf numFmtId="178" fontId="7" fillId="0" borderId="0" xfId="7" applyNumberFormat="1" applyFont="1" applyFill="1" applyBorder="1"/>
    <xf numFmtId="167" fontId="7" fillId="2" borderId="58" xfId="3" applyNumberFormat="1" applyFill="1" applyBorder="1"/>
    <xf numFmtId="3" fontId="7" fillId="2" borderId="38" xfId="0" applyNumberFormat="1" applyFont="1" applyFill="1" applyBorder="1"/>
    <xf numFmtId="1" fontId="7" fillId="0" borderId="57" xfId="3" applyNumberFormat="1" applyFont="1" applyFill="1" applyBorder="1"/>
    <xf numFmtId="3" fontId="7" fillId="5" borderId="24" xfId="0" applyNumberFormat="1" applyFont="1" applyFill="1" applyBorder="1" applyAlignment="1">
      <alignment horizontal="left" indent="1"/>
    </xf>
    <xf numFmtId="177" fontId="7" fillId="0" borderId="0" xfId="7" applyNumberFormat="1" applyFont="1" applyFill="1"/>
    <xf numFmtId="165" fontId="7" fillId="0" borderId="0" xfId="7" applyNumberFormat="1" applyFont="1" applyFill="1"/>
    <xf numFmtId="43" fontId="7" fillId="0" borderId="0" xfId="3" applyNumberFormat="1" applyFill="1"/>
    <xf numFmtId="177" fontId="7" fillId="0" borderId="0" xfId="7" applyNumberFormat="1" applyFont="1" applyFill="1" applyBorder="1"/>
    <xf numFmtId="0" fontId="24" fillId="0" borderId="0" xfId="3" applyFont="1" applyFill="1"/>
    <xf numFmtId="167" fontId="7" fillId="0" borderId="0" xfId="3" applyNumberFormat="1" applyFill="1"/>
    <xf numFmtId="1" fontId="7" fillId="0" borderId="0" xfId="3" applyNumberFormat="1" applyFont="1" applyFill="1"/>
    <xf numFmtId="177" fontId="7" fillId="0" borderId="0" xfId="3" applyNumberFormat="1" applyFont="1" applyFill="1"/>
    <xf numFmtId="179" fontId="7" fillId="0" borderId="0" xfId="7" applyNumberFormat="1" applyFont="1" applyFill="1"/>
    <xf numFmtId="3" fontId="7" fillId="0" borderId="22" xfId="3" quotePrefix="1" applyNumberFormat="1" applyFill="1" applyBorder="1"/>
    <xf numFmtId="180" fontId="7" fillId="0" borderId="0" xfId="3" applyNumberFormat="1" applyFill="1"/>
    <xf numFmtId="3" fontId="9" fillId="2" borderId="24" xfId="3" applyNumberFormat="1" applyFont="1" applyFill="1" applyBorder="1"/>
    <xf numFmtId="3" fontId="9" fillId="2" borderId="31" xfId="3" applyNumberFormat="1" applyFont="1" applyFill="1" applyBorder="1"/>
    <xf numFmtId="3" fontId="7" fillId="0" borderId="22" xfId="37" applyNumberFormat="1" applyFont="1" applyFill="1" applyBorder="1"/>
    <xf numFmtId="3" fontId="7" fillId="0" borderId="49" xfId="37" applyNumberFormat="1" applyFont="1" applyFill="1" applyBorder="1"/>
    <xf numFmtId="3" fontId="7" fillId="0" borderId="23" xfId="37" applyNumberFormat="1" applyFont="1" applyFill="1" applyBorder="1"/>
    <xf numFmtId="3" fontId="7" fillId="0" borderId="21" xfId="37" applyNumberFormat="1" applyFont="1" applyFill="1" applyBorder="1"/>
    <xf numFmtId="3" fontId="7" fillId="0" borderId="22" xfId="38" applyNumberFormat="1" applyFont="1" applyFill="1" applyBorder="1"/>
    <xf numFmtId="1" fontId="7" fillId="0" borderId="22" xfId="37" applyNumberFormat="1" applyFont="1" applyFill="1" applyBorder="1"/>
    <xf numFmtId="1" fontId="7" fillId="0" borderId="41" xfId="37" applyNumberFormat="1" applyFont="1" applyFill="1" applyBorder="1"/>
    <xf numFmtId="3" fontId="7" fillId="2" borderId="25" xfId="0" applyNumberFormat="1" applyFont="1" applyFill="1" applyBorder="1"/>
    <xf numFmtId="167" fontId="7" fillId="2" borderId="59" xfId="0" applyNumberFormat="1" applyFont="1" applyFill="1" applyBorder="1"/>
    <xf numFmtId="3" fontId="7" fillId="2" borderId="39" xfId="0" applyNumberFormat="1" applyFont="1" applyFill="1" applyBorder="1"/>
    <xf numFmtId="1" fontId="7" fillId="2" borderId="2" xfId="3" applyNumberFormat="1" applyFill="1" applyBorder="1"/>
    <xf numFmtId="1" fontId="7" fillId="2" borderId="4" xfId="3" applyNumberFormat="1" applyFill="1" applyBorder="1"/>
    <xf numFmtId="1" fontId="7" fillId="0" borderId="0" xfId="37" applyNumberFormat="1" applyFont="1" applyFill="1" applyAlignment="1">
      <alignment horizontal="right"/>
    </xf>
    <xf numFmtId="1" fontId="7" fillId="2" borderId="5" xfId="3" applyNumberFormat="1" applyFill="1" applyBorder="1"/>
    <xf numFmtId="1" fontId="27" fillId="0" borderId="0" xfId="38" applyNumberFormat="1" applyFill="1"/>
    <xf numFmtId="1" fontId="7" fillId="2" borderId="6" xfId="3" applyNumberFormat="1" applyFill="1" applyBorder="1"/>
    <xf numFmtId="1" fontId="16" fillId="2" borderId="45" xfId="3" applyNumberFormat="1" applyFont="1" applyFill="1" applyBorder="1"/>
    <xf numFmtId="49" fontId="7" fillId="2" borderId="42" xfId="3" applyNumberFormat="1" applyFill="1" applyBorder="1" applyAlignment="1">
      <alignment horizontal="center" textRotation="90" wrapText="1"/>
    </xf>
    <xf numFmtId="49" fontId="7" fillId="2" borderId="43" xfId="3" applyNumberFormat="1" applyFill="1" applyBorder="1" applyAlignment="1">
      <alignment horizontal="center" textRotation="90" wrapText="1"/>
    </xf>
    <xf numFmtId="49" fontId="7" fillId="2" borderId="44" xfId="3" applyNumberFormat="1" applyFill="1" applyBorder="1" applyAlignment="1">
      <alignment horizontal="center" textRotation="90" wrapText="1"/>
    </xf>
    <xf numFmtId="49" fontId="25" fillId="0" borderId="46" xfId="3" applyNumberFormat="1" applyFont="1" applyBorder="1" applyAlignment="1">
      <alignment horizontal="center" wrapText="1"/>
    </xf>
    <xf numFmtId="49" fontId="7" fillId="2" borderId="42" xfId="3" applyNumberFormat="1" applyFill="1" applyBorder="1" applyAlignment="1">
      <alignment horizontal="center" textRotation="90" wrapText="1" readingOrder="1"/>
    </xf>
    <xf numFmtId="49" fontId="9" fillId="2" borderId="46" xfId="3" applyNumberFormat="1" applyFont="1" applyFill="1" applyBorder="1" applyAlignment="1">
      <alignment horizontal="center" textRotation="90" wrapText="1"/>
    </xf>
    <xf numFmtId="49" fontId="7" fillId="2" borderId="47" xfId="3" applyNumberFormat="1" applyFill="1" applyBorder="1" applyAlignment="1">
      <alignment horizontal="center" textRotation="90" wrapText="1"/>
    </xf>
    <xf numFmtId="49" fontId="7" fillId="2" borderId="48" xfId="3" applyNumberFormat="1" applyFill="1" applyBorder="1" applyAlignment="1">
      <alignment horizontal="center"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7" fillId="5" borderId="24" xfId="3" applyNumberFormat="1" applyFill="1" applyBorder="1" applyAlignment="1">
      <alignment horizontal="left" inden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9" xfId="3" applyNumberFormat="1" applyBorder="1"/>
    <xf numFmtId="3" fontId="7" fillId="0" borderId="17" xfId="3" applyNumberFormat="1" applyBorder="1"/>
    <xf numFmtId="3" fontId="7" fillId="2" borderId="18" xfId="3" applyNumberFormat="1" applyFill="1" applyBorder="1"/>
    <xf numFmtId="3" fontId="7" fillId="0" borderId="18" xfId="3" applyNumberFormat="1" applyBorder="1"/>
    <xf numFmtId="3" fontId="7" fillId="5" borderId="53" xfId="3" applyNumberFormat="1" applyFill="1" applyBorder="1" applyAlignment="1">
      <alignment horizontal="left" indent="1"/>
    </xf>
    <xf numFmtId="3" fontId="7" fillId="2" borderId="17" xfId="3" applyNumberFormat="1" applyFill="1" applyBorder="1"/>
    <xf numFmtId="3" fontId="7" fillId="2" borderId="19" xfId="3" applyNumberFormat="1" applyFill="1" applyBorder="1"/>
    <xf numFmtId="3" fontId="7" fillId="0" borderId="52" xfId="0" applyNumberFormat="1" applyFont="1" applyBorder="1"/>
    <xf numFmtId="3" fontId="7" fillId="2" borderId="49" xfId="3" applyNumberFormat="1" applyFill="1" applyBorder="1"/>
    <xf numFmtId="3" fontId="7" fillId="2" borderId="49" xfId="0" applyNumberFormat="1" applyFont="1" applyFill="1" applyBorder="1"/>
    <xf numFmtId="3" fontId="7" fillId="0" borderId="49" xfId="0" applyNumberFormat="1" applyFont="1" applyBorder="1"/>
    <xf numFmtId="3" fontId="7" fillId="0" borderId="21" xfId="0" applyNumberFormat="1" applyFont="1" applyBorder="1"/>
    <xf numFmtId="3" fontId="7" fillId="2" borderId="21" xfId="0" applyNumberFormat="1" applyFont="1" applyFill="1" applyBorder="1"/>
    <xf numFmtId="3" fontId="7" fillId="2" borderId="23" xfId="0" applyNumberFormat="1" applyFont="1" applyFill="1" applyBorder="1"/>
    <xf numFmtId="3" fontId="9" fillId="2" borderId="24" xfId="0" applyNumberFormat="1" applyFont="1" applyFill="1" applyBorder="1"/>
    <xf numFmtId="1" fontId="7" fillId="2" borderId="22" xfId="0" applyNumberFormat="1" applyFont="1" applyFill="1" applyBorder="1"/>
    <xf numFmtId="1" fontId="7" fillId="0" borderId="22" xfId="0" applyNumberFormat="1" applyFont="1" applyBorder="1"/>
    <xf numFmtId="1" fontId="7" fillId="0" borderId="0" xfId="0" applyNumberFormat="1" applyFont="1"/>
    <xf numFmtId="3" fontId="7" fillId="2" borderId="22" xfId="0" applyNumberFormat="1" applyFont="1" applyFill="1" applyBorder="1"/>
    <xf numFmtId="167" fontId="7" fillId="0" borderId="23" xfId="3" applyNumberFormat="1" applyBorder="1"/>
    <xf numFmtId="167" fontId="7" fillId="0" borderId="21" xfId="3" applyNumberFormat="1" applyBorder="1"/>
    <xf numFmtId="0" fontId="7" fillId="0" borderId="0" xfId="0" applyFont="1"/>
    <xf numFmtId="3" fontId="7" fillId="5" borderId="25" xfId="3" applyNumberFormat="1" applyFill="1" applyBorder="1" applyAlignment="1">
      <alignment horizontal="left" indent="1"/>
    </xf>
    <xf numFmtId="1" fontId="7" fillId="2" borderId="22" xfId="3" applyNumberFormat="1" applyFill="1" applyBorder="1"/>
    <xf numFmtId="1" fontId="7" fillId="0" borderId="22" xfId="3" applyNumberFormat="1" applyBorder="1"/>
    <xf numFmtId="1" fontId="7" fillId="2" borderId="0" xfId="0" applyNumberFormat="1" applyFont="1" applyFill="1"/>
    <xf numFmtId="3" fontId="0" fillId="2" borderId="23" xfId="0" applyNumberFormat="1" applyFill="1" applyBorder="1"/>
    <xf numFmtId="3" fontId="7" fillId="0" borderId="0" xfId="0" applyNumberFormat="1" applyFont="1"/>
    <xf numFmtId="3" fontId="7" fillId="2" borderId="26" xfId="3" applyNumberFormat="1" applyFill="1" applyBorder="1"/>
    <xf numFmtId="3" fontId="7" fillId="2" borderId="27" xfId="3" applyNumberFormat="1" applyFill="1" applyBorder="1"/>
    <xf numFmtId="3" fontId="7" fillId="2" borderId="28" xfId="3" applyNumberFormat="1" applyFill="1" applyBorder="1"/>
    <xf numFmtId="3" fontId="7" fillId="0" borderId="28" xfId="3" applyNumberFormat="1" applyBorder="1"/>
    <xf numFmtId="3" fontId="7" fillId="5" borderId="29" xfId="3" applyNumberFormat="1" applyFill="1" applyBorder="1" applyAlignment="1">
      <alignment horizontal="left" indent="1"/>
    </xf>
    <xf numFmtId="3" fontId="7" fillId="2" borderId="30" xfId="3" applyNumberFormat="1" applyFill="1" applyBorder="1"/>
    <xf numFmtId="3" fontId="7" fillId="0" borderId="30" xfId="3" applyNumberFormat="1" applyBorder="1"/>
    <xf numFmtId="3" fontId="7" fillId="2" borderId="50" xfId="3" applyNumberFormat="1" applyFill="1" applyBorder="1"/>
    <xf numFmtId="3" fontId="7" fillId="5" borderId="31" xfId="3" applyNumberFormat="1" applyFill="1" applyBorder="1" applyAlignment="1">
      <alignment horizontal="left" indent="1"/>
    </xf>
    <xf numFmtId="3" fontId="7" fillId="2" borderId="32" xfId="3" applyNumberFormat="1" applyFill="1" applyBorder="1"/>
    <xf numFmtId="3" fontId="7" fillId="2" borderId="33" xfId="3" applyNumberFormat="1" applyFill="1" applyBorder="1"/>
    <xf numFmtId="3" fontId="7" fillId="2" borderId="34" xfId="3" applyNumberFormat="1" applyFill="1" applyBorder="1"/>
    <xf numFmtId="3" fontId="7" fillId="2" borderId="51"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7" fillId="2" borderId="10" xfId="3" applyNumberFormat="1" applyFill="1" applyBorder="1"/>
    <xf numFmtId="3" fontId="7" fillId="2" borderId="15" xfId="3" applyNumberFormat="1" applyFill="1" applyBorder="1"/>
    <xf numFmtId="167" fontId="7" fillId="2" borderId="35" xfId="3" applyNumberFormat="1" applyFill="1" applyBorder="1"/>
    <xf numFmtId="3" fontId="7" fillId="2" borderId="35" xfId="3" applyNumberFormat="1" applyFill="1" applyBorder="1"/>
    <xf numFmtId="3" fontId="7" fillId="2" borderId="36" xfId="3" applyNumberFormat="1" applyFill="1" applyBorder="1"/>
    <xf numFmtId="1" fontId="7" fillId="2" borderId="54" xfId="4" applyNumberFormat="1" applyFill="1" applyBorder="1" applyAlignment="1">
      <alignment horizontal="center" textRotation="90"/>
    </xf>
    <xf numFmtId="1" fontId="7" fillId="2" borderId="42" xfId="3" applyNumberFormat="1" applyFill="1" applyBorder="1" applyAlignment="1">
      <alignment horizontal="center" textRotation="90"/>
    </xf>
    <xf numFmtId="1" fontId="7" fillId="0" borderId="13" xfId="3" applyNumberFormat="1" applyBorder="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1" fontId="7" fillId="0" borderId="16" xfId="3" applyNumberFormat="1" applyBorder="1" applyAlignment="1">
      <alignment vertical="center"/>
    </xf>
    <xf numFmtId="1" fontId="7" fillId="2" borderId="9" xfId="3" applyNumberFormat="1" applyFill="1" applyBorder="1" applyAlignment="1">
      <alignment horizontal="left" vertical="center"/>
    </xf>
    <xf numFmtId="1" fontId="16" fillId="2" borderId="45" xfId="3" applyNumberFormat="1" applyFont="1" applyFill="1" applyBorder="1" applyAlignment="1">
      <alignment horizontal="center"/>
    </xf>
    <xf numFmtId="178" fontId="7" fillId="2" borderId="0" xfId="7" applyNumberFormat="1" applyFont="1" applyFill="1"/>
    <xf numFmtId="178" fontId="7" fillId="2" borderId="0" xfId="3" applyNumberFormat="1" applyFill="1"/>
    <xf numFmtId="1" fontId="11" fillId="0" borderId="0" xfId="3" applyNumberFormat="1" applyFont="1" applyFill="1" applyAlignment="1">
      <alignment vertical="center"/>
    </xf>
    <xf numFmtId="1" fontId="16" fillId="0" borderId="45" xfId="3" applyNumberFormat="1" applyFont="1" applyFill="1" applyBorder="1"/>
    <xf numFmtId="49" fontId="7" fillId="0" borderId="42" xfId="3" applyNumberFormat="1" applyFill="1" applyBorder="1" applyAlignment="1">
      <alignment horizontal="center" textRotation="90" wrapText="1" readingOrder="1"/>
    </xf>
    <xf numFmtId="49" fontId="7" fillId="0" borderId="43" xfId="3" applyNumberFormat="1" applyFill="1" applyBorder="1" applyAlignment="1">
      <alignment horizontal="center" textRotation="90" wrapText="1"/>
    </xf>
    <xf numFmtId="49" fontId="7" fillId="0" borderId="44" xfId="3" applyNumberFormat="1" applyFill="1" applyBorder="1" applyAlignment="1">
      <alignment horizontal="center" textRotation="90" wrapText="1"/>
    </xf>
    <xf numFmtId="49" fontId="7" fillId="0" borderId="42" xfId="3" applyNumberFormat="1" applyFill="1" applyBorder="1" applyAlignment="1">
      <alignment horizontal="center" textRotation="90" wrapText="1"/>
    </xf>
    <xf numFmtId="49" fontId="9" fillId="0" borderId="46" xfId="3" applyNumberFormat="1" applyFont="1" applyFill="1" applyBorder="1" applyAlignment="1">
      <alignment horizontal="center" textRotation="90" wrapText="1"/>
    </xf>
    <xf numFmtId="49" fontId="7" fillId="0" borderId="47" xfId="3" applyNumberFormat="1" applyFill="1" applyBorder="1" applyAlignment="1">
      <alignment horizontal="center" textRotation="90" wrapText="1"/>
    </xf>
    <xf numFmtId="49" fontId="7" fillId="0" borderId="48" xfId="3" applyNumberFormat="1" applyFill="1" applyBorder="1" applyAlignment="1">
      <alignment horizontal="center" textRotation="90" wrapText="1"/>
    </xf>
    <xf numFmtId="3" fontId="7" fillId="0" borderId="22" xfId="0" applyNumberFormat="1" applyFont="1" applyFill="1" applyBorder="1"/>
    <xf numFmtId="3" fontId="7" fillId="0" borderId="17" xfId="3" applyNumberFormat="1" applyFill="1" applyBorder="1"/>
    <xf numFmtId="3" fontId="7" fillId="0" borderId="49" xfId="0" applyNumberFormat="1" applyFont="1" applyFill="1" applyBorder="1"/>
    <xf numFmtId="3" fontId="7" fillId="0" borderId="27" xfId="3" applyNumberFormat="1" applyFill="1" applyBorder="1"/>
    <xf numFmtId="167" fontId="7" fillId="0" borderId="35" xfId="3" applyNumberFormat="1" applyFill="1" applyBorder="1"/>
    <xf numFmtId="3" fontId="7" fillId="0" borderId="35" xfId="3" applyNumberFormat="1" applyFill="1" applyBorder="1"/>
    <xf numFmtId="3" fontId="7" fillId="0" borderId="36" xfId="3" applyNumberFormat="1" applyFill="1" applyBorder="1"/>
    <xf numFmtId="167" fontId="7" fillId="0" borderId="58" xfId="3" applyNumberFormat="1" applyFill="1" applyBorder="1"/>
    <xf numFmtId="3" fontId="7" fillId="0" borderId="37" xfId="0" applyNumberFormat="1" applyFont="1" applyFill="1" applyBorder="1"/>
    <xf numFmtId="3" fontId="7" fillId="0" borderId="25" xfId="0" applyNumberFormat="1" applyFont="1" applyFill="1" applyBorder="1"/>
    <xf numFmtId="167" fontId="7" fillId="0" borderId="59" xfId="0" applyNumberFormat="1" applyFont="1" applyFill="1" applyBorder="1"/>
    <xf numFmtId="3" fontId="7" fillId="0" borderId="38" xfId="0" applyNumberFormat="1" applyFont="1" applyFill="1" applyBorder="1"/>
    <xf numFmtId="3" fontId="7" fillId="0" borderId="39" xfId="0" applyNumberFormat="1" applyFont="1" applyFill="1" applyBorder="1"/>
    <xf numFmtId="1" fontId="7" fillId="0" borderId="0" xfId="3" applyNumberFormat="1" applyFill="1" applyAlignment="1">
      <alignment vertical="center"/>
    </xf>
    <xf numFmtId="1" fontId="7" fillId="0" borderId="2" xfId="3" applyNumberFormat="1" applyFill="1" applyBorder="1"/>
    <xf numFmtId="1" fontId="7" fillId="0" borderId="3" xfId="3" applyNumberFormat="1" applyFill="1" applyBorder="1"/>
    <xf numFmtId="1" fontId="7" fillId="0" borderId="4" xfId="3" applyNumberFormat="1" applyFill="1" applyBorder="1"/>
    <xf numFmtId="1" fontId="7" fillId="0" borderId="5" xfId="3" applyNumberFormat="1" applyFill="1" applyBorder="1"/>
    <xf numFmtId="1" fontId="7" fillId="0" borderId="6" xfId="3" applyNumberFormat="1" applyFill="1" applyBorder="1"/>
    <xf numFmtId="1" fontId="7" fillId="0" borderId="7" xfId="3" applyNumberFormat="1" applyFill="1" applyBorder="1"/>
    <xf numFmtId="1" fontId="7" fillId="0" borderId="8" xfId="3" applyNumberFormat="1" applyFill="1" applyBorder="1"/>
    <xf numFmtId="1" fontId="7" fillId="0" borderId="22" xfId="0" applyNumberFormat="1" applyFont="1" applyFill="1" applyBorder="1"/>
    <xf numFmtId="1" fontId="7" fillId="0" borderId="0" xfId="0" applyNumberFormat="1" applyFont="1" applyFill="1"/>
    <xf numFmtId="0" fontId="7" fillId="0" borderId="0" xfId="0" applyFont="1" applyFill="1"/>
    <xf numFmtId="1" fontId="7" fillId="0" borderId="54" xfId="4" applyNumberFormat="1" applyFill="1" applyBorder="1" applyAlignment="1">
      <alignment horizontal="center" textRotation="90"/>
    </xf>
    <xf numFmtId="1" fontId="7" fillId="0" borderId="55" xfId="4" applyNumberFormat="1" applyFill="1" applyBorder="1" applyAlignment="1">
      <alignment horizontal="center" textRotation="90"/>
    </xf>
    <xf numFmtId="1" fontId="7" fillId="0" borderId="42" xfId="3" applyNumberFormat="1" applyFill="1" applyBorder="1" applyAlignment="1">
      <alignment horizontal="center" textRotation="90"/>
    </xf>
    <xf numFmtId="1" fontId="7" fillId="0" borderId="1" xfId="6" applyNumberFormat="1" applyFill="1" applyBorder="1" applyAlignment="1">
      <alignment vertical="center"/>
    </xf>
    <xf numFmtId="1" fontId="7" fillId="0" borderId="13" xfId="3" applyNumberFormat="1" applyFill="1" applyBorder="1" applyAlignment="1">
      <alignment vertical="center"/>
    </xf>
    <xf numFmtId="1" fontId="7" fillId="0" borderId="16" xfId="3" applyNumberFormat="1" applyFill="1" applyBorder="1" applyAlignment="1">
      <alignment vertical="center"/>
    </xf>
    <xf numFmtId="1" fontId="7" fillId="0" borderId="9" xfId="3" applyNumberFormat="1" applyFill="1" applyBorder="1" applyAlignment="1">
      <alignment horizontal="left" vertical="center"/>
    </xf>
    <xf numFmtId="0" fontId="8" fillId="0" borderId="0" xfId="3" applyFont="1" applyFill="1"/>
    <xf numFmtId="1" fontId="0" fillId="0" borderId="22" xfId="0" applyNumberFormat="1" applyBorder="1"/>
    <xf numFmtId="3" fontId="0" fillId="0" borderId="0" xfId="0" applyNumberFormat="1"/>
    <xf numFmtId="2" fontId="7" fillId="0" borderId="0" xfId="3" applyNumberFormat="1" applyFill="1"/>
    <xf numFmtId="1" fontId="7" fillId="0" borderId="0" xfId="3" applyNumberFormat="1" applyAlignment="1">
      <alignment horizontal="right"/>
    </xf>
    <xf numFmtId="3" fontId="7" fillId="0" borderId="22" xfId="8" applyNumberFormat="1" applyFont="1" applyFill="1" applyBorder="1"/>
    <xf numFmtId="3" fontId="0" fillId="0" borderId="22" xfId="8" applyNumberFormat="1" applyFont="1" applyFill="1" applyBorder="1"/>
    <xf numFmtId="3" fontId="7" fillId="0" borderId="22" xfId="3" applyNumberFormat="1" applyBorder="1" applyAlignment="1">
      <alignment horizontal="right"/>
    </xf>
    <xf numFmtId="1" fontId="7" fillId="2" borderId="54" xfId="4" applyNumberFormat="1" applyFont="1" applyFill="1" applyBorder="1" applyAlignment="1">
      <alignment horizontal="center" textRotation="90"/>
    </xf>
    <xf numFmtId="166" fontId="7" fillId="2" borderId="55" xfId="4" applyNumberFormat="1" applyFont="1" applyFill="1" applyBorder="1" applyAlignment="1">
      <alignment horizontal="center" textRotation="90"/>
    </xf>
    <xf numFmtId="3" fontId="0" fillId="0" borderId="22" xfId="0" applyNumberFormat="1" applyBorder="1"/>
    <xf numFmtId="3" fontId="0" fillId="0" borderId="23" xfId="0" applyNumberFormat="1" applyBorder="1"/>
    <xf numFmtId="3" fontId="0" fillId="0" borderId="49" xfId="0" applyNumberFormat="1" applyBorder="1"/>
    <xf numFmtId="3" fontId="7" fillId="0" borderId="22" xfId="25" applyNumberFormat="1" applyFont="1" applyFill="1" applyBorder="1"/>
    <xf numFmtId="3" fontId="0" fillId="0" borderId="52" xfId="0" applyNumberFormat="1" applyBorder="1"/>
    <xf numFmtId="3" fontId="0" fillId="0" borderId="18" xfId="0" applyNumberFormat="1" applyBorder="1"/>
    <xf numFmtId="3" fontId="0" fillId="0" borderId="19" xfId="0" applyNumberFormat="1" applyBorder="1"/>
    <xf numFmtId="3" fontId="0" fillId="0" borderId="21" xfId="0" applyNumberFormat="1" applyBorder="1"/>
    <xf numFmtId="1" fontId="0" fillId="0" borderId="0" xfId="0" applyNumberFormat="1"/>
    <xf numFmtId="1" fontId="0" fillId="0" borderId="41" xfId="0" applyNumberFormat="1" applyBorder="1"/>
    <xf numFmtId="3" fontId="7" fillId="0" borderId="22" xfId="25" applyNumberFormat="1" applyFont="1" applyFill="1" applyBorder="1" applyAlignment="1">
      <alignment horizontal="right"/>
    </xf>
    <xf numFmtId="3" fontId="0" fillId="2" borderId="37" xfId="0" applyNumberFormat="1" applyFill="1" applyBorder="1"/>
    <xf numFmtId="3" fontId="0" fillId="2" borderId="25" xfId="0" applyNumberFormat="1" applyFill="1" applyBorder="1"/>
    <xf numFmtId="167" fontId="0" fillId="2" borderId="59" xfId="0" applyNumberFormat="1" applyFill="1" applyBorder="1"/>
    <xf numFmtId="3" fontId="0" fillId="2" borderId="38" xfId="0" applyNumberFormat="1" applyFill="1" applyBorder="1"/>
    <xf numFmtId="3" fontId="0" fillId="2" borderId="39" xfId="0" applyNumberFormat="1" applyFill="1" applyBorder="1"/>
    <xf numFmtId="3" fontId="0" fillId="2" borderId="49" xfId="0" applyNumberFormat="1" applyFill="1" applyBorder="1"/>
    <xf numFmtId="3" fontId="0" fillId="2" borderId="21" xfId="0" applyNumberFormat="1" applyFill="1" applyBorder="1"/>
    <xf numFmtId="3" fontId="0" fillId="2" borderId="22" xfId="0" applyNumberFormat="1" applyFill="1" applyBorder="1"/>
    <xf numFmtId="1" fontId="0" fillId="2" borderId="22" xfId="0" applyNumberFormat="1" applyFill="1" applyBorder="1"/>
    <xf numFmtId="1" fontId="0" fillId="2" borderId="0" xfId="0" applyNumberFormat="1" applyFill="1"/>
    <xf numFmtId="1" fontId="16" fillId="2" borderId="45" xfId="3" applyNumberFormat="1" applyFont="1" applyFill="1" applyBorder="1" applyAlignment="1">
      <alignment horizontal="center"/>
    </xf>
    <xf numFmtId="3" fontId="7" fillId="0" borderId="18" xfId="0" applyNumberFormat="1" applyFont="1" applyBorder="1"/>
    <xf numFmtId="3" fontId="7" fillId="0" borderId="19" xfId="0" applyNumberFormat="1" applyFont="1" applyBorder="1"/>
    <xf numFmtId="166" fontId="7" fillId="2" borderId="55" xfId="4" applyNumberFormat="1" applyFill="1" applyBorder="1" applyAlignment="1">
      <alignment horizontal="center" textRotation="90"/>
    </xf>
    <xf numFmtId="1" fontId="7" fillId="2" borderId="1" xfId="3" applyNumberFormat="1" applyFill="1" applyBorder="1" applyAlignment="1">
      <alignment vertical="center"/>
    </xf>
    <xf numFmtId="0" fontId="9" fillId="2" borderId="22" xfId="0" applyFont="1" applyFill="1" applyBorder="1"/>
    <xf numFmtId="0" fontId="7" fillId="2" borderId="57" xfId="3" applyFill="1" applyBorder="1" applyAlignment="1" applyProtection="1">
      <alignment horizontal="left"/>
      <protection locked="0"/>
    </xf>
    <xf numFmtId="1" fontId="7" fillId="2" borderId="57" xfId="3" applyNumberFormat="1" applyFill="1" applyBorder="1" applyAlignment="1" applyProtection="1">
      <alignment horizontal="right"/>
      <protection locked="0"/>
    </xf>
    <xf numFmtId="0" fontId="29" fillId="2" borderId="0" xfId="3" applyFont="1" applyFill="1" applyBorder="1" applyAlignment="1" applyProtection="1">
      <alignment horizontal="left" wrapText="1"/>
      <protection locked="0"/>
    </xf>
    <xf numFmtId="0" fontId="7" fillId="2" borderId="0" xfId="3" applyFill="1" applyBorder="1" applyAlignment="1" applyProtection="1">
      <alignment horizontal="left" wrapText="1"/>
      <protection locked="0"/>
    </xf>
    <xf numFmtId="170" fontId="7" fillId="0" borderId="0" xfId="3" applyNumberFormat="1" applyFill="1" applyBorder="1"/>
    <xf numFmtId="0" fontId="9" fillId="2" borderId="0" xfId="3" applyFont="1" applyFill="1" applyBorder="1" applyAlignment="1">
      <alignment horizontal="center"/>
    </xf>
    <xf numFmtId="0" fontId="9" fillId="2" borderId="0" xfId="3" applyFont="1" applyFill="1" applyBorder="1"/>
    <xf numFmtId="1" fontId="9" fillId="2" borderId="0" xfId="3" applyNumberFormat="1" applyFont="1" applyFill="1" applyBorder="1"/>
    <xf numFmtId="3" fontId="7" fillId="2" borderId="0" xfId="3" applyNumberFormat="1" applyFill="1" applyBorder="1"/>
    <xf numFmtId="3" fontId="9" fillId="2" borderId="0" xfId="3" applyNumberFormat="1" applyFont="1" applyFill="1" applyBorder="1"/>
    <xf numFmtId="0" fontId="7" fillId="2" borderId="0" xfId="3" applyFill="1" applyBorder="1"/>
    <xf numFmtId="3" fontId="7" fillId="2" borderId="0" xfId="3" applyNumberFormat="1" applyFont="1" applyFill="1" applyBorder="1"/>
    <xf numFmtId="0" fontId="7" fillId="2" borderId="0" xfId="3" applyFont="1" applyFill="1" applyBorder="1"/>
    <xf numFmtId="178" fontId="7" fillId="2" borderId="0" xfId="7" applyNumberFormat="1" applyFont="1" applyFill="1" applyBorder="1"/>
    <xf numFmtId="3" fontId="0" fillId="2" borderId="0" xfId="5" applyNumberFormat="1" applyFont="1" applyFill="1" applyBorder="1"/>
    <xf numFmtId="0" fontId="0" fillId="2" borderId="22" xfId="0" applyFill="1" applyBorder="1"/>
    <xf numFmtId="0" fontId="24" fillId="2" borderId="0" xfId="0" applyFont="1" applyFill="1"/>
    <xf numFmtId="0" fontId="0" fillId="2" borderId="0" xfId="0" applyFill="1" applyBorder="1"/>
    <xf numFmtId="1" fontId="24" fillId="2" borderId="0" xfId="0" applyNumberFormat="1" applyFont="1" applyFill="1"/>
    <xf numFmtId="0" fontId="7" fillId="2" borderId="0" xfId="0" applyFont="1" applyFill="1"/>
    <xf numFmtId="3" fontId="0" fillId="2" borderId="0" xfId="0" applyNumberFormat="1" applyFill="1"/>
    <xf numFmtId="2" fontId="0" fillId="2" borderId="0" xfId="0" applyNumberFormat="1" applyFill="1" applyBorder="1"/>
    <xf numFmtId="0" fontId="29" fillId="2" borderId="0" xfId="0" applyFont="1" applyFill="1"/>
    <xf numFmtId="0" fontId="9" fillId="2" borderId="22" xfId="3" applyFont="1" applyFill="1" applyBorder="1"/>
    <xf numFmtId="0" fontId="9" fillId="2" borderId="22" xfId="3" applyFont="1" applyFill="1" applyBorder="1" applyAlignment="1">
      <alignment horizontal="center"/>
    </xf>
    <xf numFmtId="0" fontId="7" fillId="2" borderId="57" xfId="3" applyFill="1" applyBorder="1"/>
    <xf numFmtId="0" fontId="9" fillId="2" borderId="57" xfId="3" applyFont="1" applyFill="1" applyBorder="1"/>
    <xf numFmtId="0" fontId="7" fillId="2" borderId="57" xfId="3" applyFont="1" applyFill="1" applyBorder="1"/>
    <xf numFmtId="3" fontId="0" fillId="2" borderId="22" xfId="5" applyNumberFormat="1" applyFont="1" applyFill="1" applyBorder="1"/>
    <xf numFmtId="9" fontId="7" fillId="2" borderId="0" xfId="39" applyFont="1" applyFill="1"/>
    <xf numFmtId="2" fontId="7" fillId="2" borderId="0" xfId="3" applyNumberFormat="1" applyFill="1"/>
    <xf numFmtId="3" fontId="9" fillId="2" borderId="22" xfId="3" applyNumberFormat="1" applyFont="1" applyFill="1" applyBorder="1"/>
    <xf numFmtId="166" fontId="9" fillId="2" borderId="22" xfId="0" applyNumberFormat="1" applyFont="1" applyFill="1" applyBorder="1"/>
    <xf numFmtId="171" fontId="0" fillId="2" borderId="0" xfId="0" applyNumberFormat="1" applyFill="1"/>
    <xf numFmtId="9" fontId="0" fillId="2" borderId="0" xfId="39" applyFont="1" applyFill="1"/>
    <xf numFmtId="0" fontId="7" fillId="2" borderId="22" xfId="0" applyFont="1" applyFill="1" applyBorder="1"/>
    <xf numFmtId="0" fontId="7" fillId="2" borderId="0" xfId="0" applyFont="1" applyFill="1" applyBorder="1"/>
    <xf numFmtId="1" fontId="0" fillId="2" borderId="0" xfId="39" applyNumberFormat="1" applyFont="1" applyFill="1"/>
    <xf numFmtId="0" fontId="0" fillId="2" borderId="0" xfId="39" applyNumberFormat="1" applyFont="1" applyFill="1"/>
    <xf numFmtId="3" fontId="9" fillId="2" borderId="0" xfId="3" applyNumberFormat="1" applyFont="1" applyFill="1"/>
    <xf numFmtId="3" fontId="9" fillId="2" borderId="0" xfId="39" applyNumberFormat="1" applyFont="1" applyFill="1"/>
    <xf numFmtId="0" fontId="9" fillId="8" borderId="57" xfId="3" applyFont="1" applyFill="1" applyBorder="1"/>
    <xf numFmtId="3" fontId="9" fillId="8" borderId="57" xfId="3" applyNumberFormat="1" applyFont="1" applyFill="1" applyBorder="1"/>
    <xf numFmtId="3" fontId="9" fillId="8" borderId="22" xfId="3" applyNumberFormat="1" applyFont="1" applyFill="1" applyBorder="1"/>
    <xf numFmtId="0" fontId="9" fillId="8" borderId="22" xfId="3" applyFont="1" applyFill="1" applyBorder="1" applyAlignment="1" applyProtection="1">
      <alignment horizontal="left"/>
      <protection locked="0"/>
    </xf>
    <xf numFmtId="1" fontId="9" fillId="8" borderId="22" xfId="3" applyNumberFormat="1" applyFont="1" applyFill="1" applyBorder="1" applyAlignment="1" applyProtection="1">
      <alignment horizontal="right"/>
      <protection locked="0"/>
    </xf>
    <xf numFmtId="1" fontId="9" fillId="8" borderId="22" xfId="0" applyNumberFormat="1" applyFont="1" applyFill="1" applyBorder="1"/>
    <xf numFmtId="0" fontId="9" fillId="8" borderId="22" xfId="3" applyFont="1" applyFill="1" applyBorder="1"/>
    <xf numFmtId="3" fontId="7" fillId="9" borderId="22" xfId="37" applyNumberFormat="1" applyFont="1" applyFill="1" applyBorder="1"/>
    <xf numFmtId="1" fontId="7" fillId="9" borderId="22" xfId="37" applyNumberFormat="1" applyFont="1" applyFill="1" applyBorder="1"/>
    <xf numFmtId="3" fontId="7" fillId="9" borderId="22" xfId="37" applyNumberFormat="1" applyFont="1" applyFill="1" applyBorder="1" applyAlignment="1">
      <alignment horizontal="right"/>
    </xf>
    <xf numFmtId="0" fontId="7" fillId="2" borderId="22" xfId="3" applyFill="1" applyBorder="1"/>
    <xf numFmtId="1" fontId="16" fillId="2" borderId="45" xfId="3" applyNumberFormat="1" applyFont="1" applyFill="1" applyBorder="1" applyAlignment="1">
      <alignment horizontal="center"/>
    </xf>
    <xf numFmtId="3" fontId="7" fillId="10" borderId="23" xfId="37" applyNumberFormat="1" applyFont="1" applyFill="1" applyBorder="1"/>
    <xf numFmtId="3" fontId="7" fillId="10" borderId="22" xfId="37" applyNumberFormat="1" applyFont="1" applyFill="1" applyBorder="1"/>
    <xf numFmtId="0" fontId="7" fillId="2" borderId="0" xfId="3" applyFill="1"/>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3" fontId="7" fillId="0" borderId="22"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9" xfId="3" applyNumberFormat="1" applyFill="1" applyBorder="1"/>
    <xf numFmtId="0" fontId="7" fillId="0" borderId="22" xfId="3" applyFill="1" applyBorder="1"/>
    <xf numFmtId="3" fontId="7" fillId="0" borderId="21" xfId="3" applyNumberFormat="1" applyFill="1" applyBorder="1"/>
    <xf numFmtId="0" fontId="7" fillId="0" borderId="0" xfId="3" applyFill="1"/>
    <xf numFmtId="3" fontId="7" fillId="2" borderId="26" xfId="3" applyNumberFormat="1" applyFill="1" applyBorder="1"/>
    <xf numFmtId="3" fontId="7" fillId="2" borderId="27" xfId="3" applyNumberFormat="1" applyFill="1" applyBorder="1"/>
    <xf numFmtId="3" fontId="7" fillId="2" borderId="28" xfId="3" applyNumberFormat="1" applyFill="1" applyBorder="1"/>
    <xf numFmtId="3" fontId="7" fillId="0" borderId="28" xfId="3" applyNumberFormat="1" applyFill="1" applyBorder="1"/>
    <xf numFmtId="3" fontId="7" fillId="2" borderId="30" xfId="3" applyNumberFormat="1" applyFill="1" applyBorder="1"/>
    <xf numFmtId="3" fontId="7" fillId="2" borderId="50" xfId="3" applyNumberFormat="1" applyFill="1" applyBorder="1"/>
    <xf numFmtId="3" fontId="7" fillId="2" borderId="32" xfId="3" applyNumberFormat="1" applyFill="1" applyBorder="1"/>
    <xf numFmtId="3" fontId="7" fillId="2" borderId="33" xfId="3" applyNumberFormat="1" applyFill="1" applyBorder="1"/>
    <xf numFmtId="3" fontId="7" fillId="2" borderId="34" xfId="3" applyNumberFormat="1" applyFill="1" applyBorder="1"/>
    <xf numFmtId="3" fontId="9" fillId="2" borderId="31" xfId="3" applyNumberFormat="1" applyFont="1" applyFill="1" applyBorder="1"/>
    <xf numFmtId="3" fontId="7" fillId="2" borderId="51"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0" fontId="9" fillId="0" borderId="22" xfId="3" applyFont="1" applyFill="1" applyBorder="1"/>
    <xf numFmtId="0" fontId="9" fillId="0" borderId="0" xfId="3" applyFont="1" applyFill="1" applyBorder="1"/>
    <xf numFmtId="0" fontId="7" fillId="0" borderId="0" xfId="3" applyFill="1" applyBorder="1"/>
    <xf numFmtId="3" fontId="7" fillId="0" borderId="0" xfId="3" applyNumberFormat="1" applyFill="1" applyBorder="1"/>
    <xf numFmtId="3" fontId="9" fillId="0" borderId="0" xfId="3" applyNumberFormat="1" applyFont="1" applyFill="1" applyBorder="1"/>
    <xf numFmtId="0" fontId="9" fillId="0" borderId="0" xfId="3" applyFont="1" applyFill="1"/>
    <xf numFmtId="1" fontId="7" fillId="0" borderId="22" xfId="3" applyNumberFormat="1" applyFill="1" applyBorder="1"/>
    <xf numFmtId="3" fontId="7" fillId="5" borderId="24" xfId="3" applyNumberFormat="1" applyFill="1" applyBorder="1" applyAlignment="1">
      <alignment horizontal="left" indent="1"/>
    </xf>
    <xf numFmtId="1" fontId="7" fillId="2" borderId="22" xfId="3" applyNumberFormat="1" applyFill="1" applyBorder="1"/>
    <xf numFmtId="3" fontId="7" fillId="5" borderId="25" xfId="3" applyNumberFormat="1" applyFill="1" applyBorder="1" applyAlignment="1">
      <alignment horizontal="left" indent="1"/>
    </xf>
    <xf numFmtId="3" fontId="7" fillId="5" borderId="29" xfId="3" applyNumberFormat="1" applyFill="1" applyBorder="1" applyAlignment="1">
      <alignment horizontal="left" indent="1"/>
    </xf>
    <xf numFmtId="3" fontId="7" fillId="5" borderId="31" xfId="3" applyNumberFormat="1" applyFill="1" applyBorder="1" applyAlignment="1">
      <alignment horizontal="left" indent="1"/>
    </xf>
    <xf numFmtId="3" fontId="7" fillId="0" borderId="22" xfId="37" applyNumberFormat="1" applyFont="1" applyFill="1" applyBorder="1"/>
    <xf numFmtId="3" fontId="7" fillId="0" borderId="22" xfId="37" applyNumberFormat="1" applyFont="1" applyFill="1" applyBorder="1" applyAlignment="1">
      <alignment horizontal="right"/>
    </xf>
    <xf numFmtId="3" fontId="7" fillId="0" borderId="21" xfId="37" applyNumberFormat="1" applyFont="1" applyFill="1" applyBorder="1"/>
    <xf numFmtId="3" fontId="7" fillId="0" borderId="23" xfId="37" applyNumberFormat="1" applyFont="1" applyFill="1" applyBorder="1"/>
    <xf numFmtId="3" fontId="7" fillId="0" borderId="49" xfId="37" applyNumberFormat="1" applyFont="1" applyFill="1" applyBorder="1"/>
    <xf numFmtId="3" fontId="7" fillId="0" borderId="22" xfId="38" applyNumberFormat="1" applyFont="1" applyFill="1" applyBorder="1"/>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3" applyNumberFormat="1" applyBorder="1"/>
    <xf numFmtId="3" fontId="7" fillId="0" borderId="49" xfId="3" applyNumberFormat="1" applyBorder="1"/>
    <xf numFmtId="3" fontId="7" fillId="0" borderId="17" xfId="3" applyNumberFormat="1" applyBorder="1"/>
    <xf numFmtId="3" fontId="7" fillId="0" borderId="18" xfId="3" applyNumberFormat="1" applyBorder="1"/>
    <xf numFmtId="3" fontId="7" fillId="5" borderId="53" xfId="3" applyNumberFormat="1" applyFill="1" applyBorder="1" applyAlignment="1">
      <alignment horizontal="left" indent="1"/>
    </xf>
    <xf numFmtId="167" fontId="7" fillId="0" borderId="23" xfId="3" applyNumberFormat="1" applyBorder="1"/>
    <xf numFmtId="167" fontId="7" fillId="0" borderId="21" xfId="3" applyNumberFormat="1" applyBorder="1"/>
    <xf numFmtId="3" fontId="7" fillId="0" borderId="28" xfId="3" applyNumberFormat="1" applyBorder="1"/>
    <xf numFmtId="3" fontId="7" fillId="0" borderId="30" xfId="3" applyNumberFormat="1" applyBorder="1"/>
    <xf numFmtId="1" fontId="7" fillId="0" borderId="22" xfId="37" applyNumberFormat="1" applyFont="1" applyFill="1" applyBorder="1"/>
    <xf numFmtId="1" fontId="7" fillId="0" borderId="41" xfId="37" applyNumberFormat="1" applyFont="1" applyFill="1" applyBorder="1"/>
    <xf numFmtId="1" fontId="7" fillId="0" borderId="22" xfId="3" applyNumberFormat="1" applyBorder="1"/>
    <xf numFmtId="1" fontId="0" fillId="2" borderId="63" xfId="0" applyNumberFormat="1" applyFill="1" applyBorder="1"/>
    <xf numFmtId="9" fontId="7" fillId="2" borderId="0" xfId="0" applyNumberFormat="1" applyFont="1" applyFill="1" applyBorder="1"/>
    <xf numFmtId="4" fontId="0" fillId="2" borderId="0" xfId="0" applyNumberFormat="1" applyFill="1"/>
    <xf numFmtId="3" fontId="7" fillId="9" borderId="23" xfId="37" applyNumberFormat="1" applyFont="1" applyFill="1" applyBorder="1"/>
    <xf numFmtId="0" fontId="26" fillId="6" borderId="0" xfId="37"/>
    <xf numFmtId="0" fontId="7" fillId="11" borderId="0" xfId="0" applyFont="1" applyFill="1"/>
    <xf numFmtId="0" fontId="0" fillId="11" borderId="0" xfId="0" applyFill="1"/>
    <xf numFmtId="0" fontId="7" fillId="2" borderId="22" xfId="3" applyFill="1" applyBorder="1" applyAlignment="1">
      <alignment horizontal="center"/>
    </xf>
    <xf numFmtId="1" fontId="7" fillId="0" borderId="60" xfId="3" applyNumberFormat="1" applyFill="1" applyBorder="1" applyAlignment="1">
      <alignment horizontal="center" textRotation="90" wrapText="1"/>
    </xf>
    <xf numFmtId="1" fontId="7" fillId="0" borderId="56" xfId="3" applyNumberFormat="1" applyFill="1" applyBorder="1" applyAlignment="1">
      <alignment horizontal="center" textRotation="90" wrapText="1"/>
    </xf>
    <xf numFmtId="1" fontId="7" fillId="0" borderId="43" xfId="3" applyNumberFormat="1" applyFill="1" applyBorder="1" applyAlignment="1">
      <alignment horizontal="center" textRotation="90" wrapText="1"/>
    </xf>
    <xf numFmtId="1" fontId="7" fillId="0" borderId="61" xfId="3" applyNumberFormat="1" applyFill="1" applyBorder="1" applyAlignment="1">
      <alignment horizontal="center" textRotation="90" wrapText="1"/>
    </xf>
    <xf numFmtId="1" fontId="7" fillId="0" borderId="62" xfId="3" applyNumberFormat="1" applyFill="1" applyBorder="1" applyAlignment="1">
      <alignment horizontal="center" textRotation="90" wrapText="1"/>
    </xf>
    <xf numFmtId="1" fontId="7" fillId="0" borderId="44" xfId="3" applyNumberFormat="1" applyFill="1" applyBorder="1" applyAlignment="1">
      <alignment horizontal="center" textRotation="90" wrapText="1"/>
    </xf>
    <xf numFmtId="1" fontId="16" fillId="0" borderId="45" xfId="3" applyNumberFormat="1" applyFont="1" applyFill="1" applyBorder="1" applyAlignment="1">
      <alignment horizontal="center"/>
    </xf>
    <xf numFmtId="3" fontId="7" fillId="0" borderId="3" xfId="37" applyNumberFormat="1" applyFont="1" applyFill="1" applyBorder="1" applyAlignment="1" applyProtection="1">
      <alignment horizontal="left"/>
      <protection locked="0"/>
    </xf>
    <xf numFmtId="3" fontId="7" fillId="0" borderId="40" xfId="3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Alignment="1">
      <alignment horizontal="center" vertical="top"/>
    </xf>
    <xf numFmtId="0" fontId="7" fillId="2" borderId="57" xfId="3" applyFill="1" applyBorder="1" applyAlignment="1">
      <alignment horizontal="center"/>
    </xf>
    <xf numFmtId="0" fontId="7" fillId="2" borderId="49" xfId="3" applyFill="1" applyBorder="1" applyAlignment="1">
      <alignment horizontal="center"/>
    </xf>
    <xf numFmtId="0" fontId="7" fillId="2" borderId="0" xfId="3" applyFill="1" applyBorder="1" applyAlignment="1">
      <alignment horizontal="center"/>
    </xf>
    <xf numFmtId="1" fontId="7" fillId="2" borderId="60" xfId="3" applyNumberFormat="1" applyFill="1" applyBorder="1" applyAlignment="1">
      <alignment horizontal="center" textRotation="90" wrapText="1"/>
    </xf>
    <xf numFmtId="1" fontId="7" fillId="2" borderId="56" xfId="3" applyNumberFormat="1" applyFill="1" applyBorder="1" applyAlignment="1">
      <alignment horizontal="center" textRotation="90" wrapText="1"/>
    </xf>
    <xf numFmtId="1" fontId="7" fillId="2" borderId="43" xfId="3" applyNumberFormat="1" applyFill="1" applyBorder="1" applyAlignment="1">
      <alignment horizontal="center" textRotation="90" wrapText="1"/>
    </xf>
    <xf numFmtId="1" fontId="7" fillId="2" borderId="61" xfId="3" applyNumberFormat="1" applyFill="1" applyBorder="1" applyAlignment="1">
      <alignment horizontal="center" textRotation="90" wrapText="1"/>
    </xf>
    <xf numFmtId="1" fontId="7" fillId="2" borderId="62" xfId="3" applyNumberFormat="1" applyFill="1" applyBorder="1" applyAlignment="1">
      <alignment horizontal="center" textRotation="90" wrapText="1"/>
    </xf>
    <xf numFmtId="1" fontId="7" fillId="2" borderId="44" xfId="3" applyNumberFormat="1" applyFill="1" applyBorder="1" applyAlignment="1">
      <alignment horizontal="center" textRotation="90" wrapText="1"/>
    </xf>
    <xf numFmtId="0" fontId="7" fillId="0" borderId="0" xfId="3" applyFill="1" applyBorder="1" applyAlignment="1">
      <alignment horizontal="center"/>
    </xf>
    <xf numFmtId="1" fontId="16" fillId="2" borderId="45" xfId="3" applyNumberFormat="1" applyFont="1" applyFill="1" applyBorder="1" applyAlignment="1">
      <alignment horizontal="center"/>
    </xf>
    <xf numFmtId="3" fontId="7" fillId="2" borderId="3" xfId="37" applyNumberFormat="1" applyFont="1" applyFill="1" applyBorder="1" applyAlignment="1" applyProtection="1">
      <alignment horizontal="left"/>
      <protection locked="0"/>
    </xf>
    <xf numFmtId="3" fontId="7" fillId="2" borderId="40" xfId="37" applyNumberFormat="1" applyFont="1" applyFill="1" applyBorder="1" applyAlignment="1" applyProtection="1">
      <alignment horizontal="left"/>
      <protection locked="0"/>
    </xf>
    <xf numFmtId="1" fontId="15" fillId="2" borderId="0" xfId="0" applyNumberFormat="1" applyFont="1" applyFill="1" applyAlignment="1">
      <alignment horizontal="center" vertical="top"/>
    </xf>
    <xf numFmtId="3" fontId="7" fillId="0" borderId="3" xfId="3" applyNumberFormat="1" applyBorder="1" applyAlignment="1" applyProtection="1">
      <alignment horizontal="left"/>
      <protection locked="0"/>
    </xf>
    <xf numFmtId="3" fontId="7" fillId="0" borderId="40" xfId="3" applyNumberFormat="1" applyBorder="1" applyAlignment="1" applyProtection="1">
      <alignment horizontal="left"/>
      <protection locked="0"/>
    </xf>
    <xf numFmtId="0" fontId="7" fillId="0" borderId="28" xfId="3" applyFont="1" applyFill="1" applyBorder="1" applyAlignment="1">
      <alignment vertical="center"/>
    </xf>
    <xf numFmtId="0" fontId="7" fillId="0" borderId="18" xfId="3" applyFont="1" applyFill="1" applyBorder="1" applyAlignment="1">
      <alignment vertical="center"/>
    </xf>
    <xf numFmtId="0" fontId="9" fillId="0" borderId="28" xfId="3" applyFont="1" applyFill="1" applyBorder="1" applyAlignment="1">
      <alignment horizontal="center" vertical="center" textRotation="90"/>
    </xf>
    <xf numFmtId="0" fontId="9" fillId="0" borderId="56"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7" fillId="10" borderId="0" xfId="3" applyFill="1" applyAlignment="1">
      <alignment horizontal="center"/>
    </xf>
  </cellXfs>
  <cellStyles count="53">
    <cellStyle name="1000-sep (2 dec) 2" xfId="25"/>
    <cellStyle name="1000-sep (2 dec) 2 2" xfId="27"/>
    <cellStyle name="1000-sep (2 dec) 2 3" xfId="41"/>
    <cellStyle name="1000-sep (2 dec) 2 4" xfId="52"/>
    <cellStyle name="God" xfId="37" builtinId="26"/>
    <cellStyle name="Komma" xfId="7" builtinId="3"/>
    <cellStyle name="Komma 2" xfId="2"/>
    <cellStyle name="Komma 2 2" xfId="10"/>
    <cellStyle name="Komma 2 2 2" xfId="29"/>
    <cellStyle name="Komma 2 3" xfId="8"/>
    <cellStyle name="Komma 2 3 2" xfId="30"/>
    <cellStyle name="Komma 2 3 3" xfId="43"/>
    <cellStyle name="Komma 3" xfId="5"/>
    <cellStyle name="Komma 3 2" xfId="23"/>
    <cellStyle name="Komma 3 3" xfId="31"/>
    <cellStyle name="Komma 3 4" xfId="42"/>
    <cellStyle name="Komma 4" xfId="9"/>
    <cellStyle name="Komma 5" xfId="22"/>
    <cellStyle name="Komma 5 2" xfId="50"/>
    <cellStyle name="Normal" xfId="0" builtinId="0"/>
    <cellStyle name="Normal 2" xfId="1"/>
    <cellStyle name="Normal 2 2" xfId="3"/>
    <cellStyle name="Normal 2 2 2" xfId="11"/>
    <cellStyle name="Normal 2 2 2 2" xfId="32"/>
    <cellStyle name="Normal 2 2 2 3" xfId="44"/>
    <cellStyle name="Normal 2 3" xfId="12"/>
    <cellStyle name="Normal 2 3 2" xfId="33"/>
    <cellStyle name="Normal 2 3 3" xfId="45"/>
    <cellStyle name="Normal 23" xfId="26"/>
    <cellStyle name="Normal 3" xfId="6"/>
    <cellStyle name="Normal 3 2" xfId="13"/>
    <cellStyle name="Normal 3 2 2" xfId="34"/>
    <cellStyle name="Normal 3 2 3" xfId="46"/>
    <cellStyle name="Normal 3 3" xfId="14"/>
    <cellStyle name="Normal 4" xfId="15"/>
    <cellStyle name="Normal 4 2" xfId="16"/>
    <cellStyle name="Normal 5" xfId="17"/>
    <cellStyle name="Normal 5 2" xfId="28"/>
    <cellStyle name="Normal 6" xfId="18"/>
    <cellStyle name="Normal 6 2" xfId="35"/>
    <cellStyle name="Normal 6 3" xfId="47"/>
    <cellStyle name="Normal 7" xfId="19"/>
    <cellStyle name="Normal 7 2" xfId="36"/>
    <cellStyle name="Normal 7 3" xfId="48"/>
    <cellStyle name="Normal 8" xfId="21"/>
    <cellStyle name="Normal 8 2" xfId="49"/>
    <cellStyle name="Normal 9" xfId="40"/>
    <cellStyle name="Procent" xfId="39" builtinId="5"/>
    <cellStyle name="Procent 2" xfId="4"/>
    <cellStyle name="Procent 3" xfId="20"/>
    <cellStyle name="Procent 4" xfId="24"/>
    <cellStyle name="Procent 4 2" xfId="51"/>
    <cellStyle name="Ugyldig" xfId="38" builtinId="27"/>
  </cellStyles>
  <dxfs count="0"/>
  <tableStyles count="0" defaultTableStyle="TableStyleMedium9" defaultPivotStyle="PivotStyleLight16"/>
  <colors>
    <mruColors>
      <color rgb="FF99CC33"/>
      <color rgb="FFCCFFCC"/>
      <color rgb="FFC4CCC4"/>
      <color rgb="FFE3DFD4"/>
      <color rgb="FFCCFF66"/>
      <color rgb="FFBEE6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Grafer!$B$564</c:f>
              <c:strCache>
                <c:ptCount val="1"/>
                <c:pt idx="0">
                  <c:v>Elimport</c:v>
                </c:pt>
              </c:strCache>
            </c:strRef>
          </c:tx>
          <c:invertIfNegative val="0"/>
          <c:cat>
            <c:strRef>
              <c:f>Grafer!$C$101:$E$101</c:f>
              <c:strCache>
                <c:ptCount val="3"/>
                <c:pt idx="0">
                  <c:v>2018</c:v>
                </c:pt>
                <c:pt idx="1">
                  <c:v>BAU2030</c:v>
                </c:pt>
                <c:pt idx="2">
                  <c:v>BAU2050</c:v>
                </c:pt>
              </c:strCache>
            </c:strRef>
          </c:cat>
          <c:val>
            <c:numRef>
              <c:f>Grafer!$C$564:$E$564</c:f>
              <c:numCache>
                <c:formatCode>#,##0</c:formatCode>
                <c:ptCount val="3"/>
                <c:pt idx="0">
                  <c:v>-16.253355625390768</c:v>
                </c:pt>
                <c:pt idx="1">
                  <c:v>0</c:v>
                </c:pt>
                <c:pt idx="2">
                  <c:v>0</c:v>
                </c:pt>
              </c:numCache>
            </c:numRef>
          </c:val>
          <c:extLst xmlns:c16r2="http://schemas.microsoft.com/office/drawing/2015/06/chart">
            <c:ext xmlns:c16="http://schemas.microsoft.com/office/drawing/2014/chart" uri="{C3380CC4-5D6E-409C-BE32-E72D297353CC}">
              <c16:uniqueId val="{00000000-5AD0-4897-A234-5C755152B579}"/>
            </c:ext>
          </c:extLst>
        </c:ser>
        <c:ser>
          <c:idx val="2"/>
          <c:order val="1"/>
          <c:tx>
            <c:strRef>
              <c:f>Grafer!$B$565</c:f>
              <c:strCache>
                <c:ptCount val="1"/>
                <c:pt idx="0">
                  <c:v>Kul</c:v>
                </c:pt>
              </c:strCache>
            </c:strRef>
          </c:tx>
          <c:invertIfNegative val="0"/>
          <c:cat>
            <c:strRef>
              <c:f>Grafer!$C$101:$E$101</c:f>
              <c:strCache>
                <c:ptCount val="3"/>
                <c:pt idx="0">
                  <c:v>2018</c:v>
                </c:pt>
                <c:pt idx="1">
                  <c:v>BAU2030</c:v>
                </c:pt>
                <c:pt idx="2">
                  <c:v>BAU2050</c:v>
                </c:pt>
              </c:strCache>
            </c:strRef>
          </c:cat>
          <c:val>
            <c:numRef>
              <c:f>Grafer!$C$565:$E$565</c:f>
              <c:numCache>
                <c:formatCode>#,##0</c:formatCode>
                <c:ptCount val="3"/>
                <c:pt idx="0">
                  <c:v>0.88303500000000013</c:v>
                </c:pt>
                <c:pt idx="1">
                  <c:v>0.84771360000000018</c:v>
                </c:pt>
                <c:pt idx="2">
                  <c:v>0.79473150000000015</c:v>
                </c:pt>
              </c:numCache>
            </c:numRef>
          </c:val>
          <c:extLst xmlns:c16r2="http://schemas.microsoft.com/office/drawing/2015/06/chart">
            <c:ext xmlns:c16="http://schemas.microsoft.com/office/drawing/2014/chart" uri="{C3380CC4-5D6E-409C-BE32-E72D297353CC}">
              <c16:uniqueId val="{00000001-5AD0-4897-A234-5C755152B579}"/>
            </c:ext>
          </c:extLst>
        </c:ser>
        <c:ser>
          <c:idx val="3"/>
          <c:order val="2"/>
          <c:tx>
            <c:strRef>
              <c:f>Grafer!$B$566</c:f>
              <c:strCache>
                <c:ptCount val="1"/>
                <c:pt idx="0">
                  <c:v>Naturgas og LPG</c:v>
                </c:pt>
              </c:strCache>
            </c:strRef>
          </c:tx>
          <c:invertIfNegative val="0"/>
          <c:cat>
            <c:strRef>
              <c:f>Grafer!$C$101:$E$101</c:f>
              <c:strCache>
                <c:ptCount val="3"/>
                <c:pt idx="0">
                  <c:v>2018</c:v>
                </c:pt>
                <c:pt idx="1">
                  <c:v>BAU2030</c:v>
                </c:pt>
                <c:pt idx="2">
                  <c:v>BAU2050</c:v>
                </c:pt>
              </c:strCache>
            </c:strRef>
          </c:cat>
          <c:val>
            <c:numRef>
              <c:f>Grafer!$C$566:$E$566</c:f>
              <c:numCache>
                <c:formatCode>#,##0</c:formatCode>
                <c:ptCount val="3"/>
                <c:pt idx="0">
                  <c:v>73.307799999999986</c:v>
                </c:pt>
                <c:pt idx="1">
                  <c:v>62.306362239999999</c:v>
                </c:pt>
                <c:pt idx="2">
                  <c:v>62.100676599999986</c:v>
                </c:pt>
              </c:numCache>
            </c:numRef>
          </c:val>
          <c:extLst xmlns:c16r2="http://schemas.microsoft.com/office/drawing/2015/06/chart">
            <c:ext xmlns:c16="http://schemas.microsoft.com/office/drawing/2014/chart" uri="{C3380CC4-5D6E-409C-BE32-E72D297353CC}">
              <c16:uniqueId val="{00000002-5AD0-4897-A234-5C755152B579}"/>
            </c:ext>
          </c:extLst>
        </c:ser>
        <c:ser>
          <c:idx val="4"/>
          <c:order val="3"/>
          <c:tx>
            <c:strRef>
              <c:f>Grafer!$B$567</c:f>
              <c:strCache>
                <c:ptCount val="1"/>
                <c:pt idx="0">
                  <c:v>Fuelolie</c:v>
                </c:pt>
              </c:strCache>
            </c:strRef>
          </c:tx>
          <c:invertIfNegative val="0"/>
          <c:cat>
            <c:strRef>
              <c:f>Grafer!$C$101:$E$101</c:f>
              <c:strCache>
                <c:ptCount val="3"/>
                <c:pt idx="0">
                  <c:v>2018</c:v>
                </c:pt>
                <c:pt idx="1">
                  <c:v>BAU2030</c:v>
                </c:pt>
                <c:pt idx="2">
                  <c:v>BAU2050</c:v>
                </c:pt>
              </c:strCache>
            </c:strRef>
          </c:cat>
          <c:val>
            <c:numRef>
              <c:f>Grafer!$C$567:$E$567</c:f>
              <c:numCache>
                <c:formatCode>#,##0</c:formatCode>
                <c:ptCount val="3"/>
                <c:pt idx="0">
                  <c:v>7.8840000000000004E-3</c:v>
                </c:pt>
                <c:pt idx="1">
                  <c:v>7.4898000000000005E-3</c:v>
                </c:pt>
                <c:pt idx="2">
                  <c:v>7.4898000000000005E-3</c:v>
                </c:pt>
              </c:numCache>
            </c:numRef>
          </c:val>
          <c:extLst xmlns:c16r2="http://schemas.microsoft.com/office/drawing/2015/06/chart">
            <c:ext xmlns:c16="http://schemas.microsoft.com/office/drawing/2014/chart" uri="{C3380CC4-5D6E-409C-BE32-E72D297353CC}">
              <c16:uniqueId val="{00000003-5AD0-4897-A234-5C755152B579}"/>
            </c:ext>
          </c:extLst>
        </c:ser>
        <c:ser>
          <c:idx val="5"/>
          <c:order val="4"/>
          <c:tx>
            <c:strRef>
              <c:f>Grafer!$B$568</c:f>
              <c:strCache>
                <c:ptCount val="1"/>
                <c:pt idx="0">
                  <c:v>Brændselsolie/diesel</c:v>
                </c:pt>
              </c:strCache>
            </c:strRef>
          </c:tx>
          <c:invertIfNegative val="0"/>
          <c:cat>
            <c:strRef>
              <c:f>Grafer!$C$101:$E$101</c:f>
              <c:strCache>
                <c:ptCount val="3"/>
                <c:pt idx="0">
                  <c:v>2018</c:v>
                </c:pt>
                <c:pt idx="1">
                  <c:v>BAU2030</c:v>
                </c:pt>
                <c:pt idx="2">
                  <c:v>BAU2050</c:v>
                </c:pt>
              </c:strCache>
            </c:strRef>
          </c:cat>
          <c:val>
            <c:numRef>
              <c:f>Grafer!$C$568:$E$568</c:f>
              <c:numCache>
                <c:formatCode>#,##0</c:formatCode>
                <c:ptCount val="3"/>
                <c:pt idx="0">
                  <c:v>151.1066902</c:v>
                </c:pt>
                <c:pt idx="1">
                  <c:v>133.27485669800001</c:v>
                </c:pt>
                <c:pt idx="2">
                  <c:v>78.429304040000005</c:v>
                </c:pt>
              </c:numCache>
            </c:numRef>
          </c:val>
          <c:extLst xmlns:c16r2="http://schemas.microsoft.com/office/drawing/2015/06/chart">
            <c:ext xmlns:c16="http://schemas.microsoft.com/office/drawing/2014/chart" uri="{C3380CC4-5D6E-409C-BE32-E72D297353CC}">
              <c16:uniqueId val="{00000004-5AD0-4897-A234-5C755152B579}"/>
            </c:ext>
          </c:extLst>
        </c:ser>
        <c:ser>
          <c:idx val="7"/>
          <c:order val="5"/>
          <c:tx>
            <c:strRef>
              <c:f>Grafer!$B$569</c:f>
              <c:strCache>
                <c:ptCount val="1"/>
                <c:pt idx="0">
                  <c:v>JP1</c:v>
                </c:pt>
              </c:strCache>
            </c:strRef>
          </c:tx>
          <c:spPr>
            <a:solidFill>
              <a:srgbClr val="D9AAA9"/>
            </a:solidFill>
          </c:spPr>
          <c:invertIfNegative val="0"/>
          <c:cat>
            <c:strRef>
              <c:f>Grafer!$C$101:$E$101</c:f>
              <c:strCache>
                <c:ptCount val="3"/>
                <c:pt idx="0">
                  <c:v>2018</c:v>
                </c:pt>
                <c:pt idx="1">
                  <c:v>BAU2030</c:v>
                </c:pt>
                <c:pt idx="2">
                  <c:v>BAU2050</c:v>
                </c:pt>
              </c:strCache>
            </c:strRef>
          </c:cat>
          <c:val>
            <c:numRef>
              <c:f>Grafer!$C$569:$E$569</c:f>
              <c:numCache>
                <c:formatCode>#,##0</c:formatCode>
                <c:ptCount val="3"/>
                <c:pt idx="0">
                  <c:v>54.734400000000001</c:v>
                </c:pt>
                <c:pt idx="1">
                  <c:v>58.565808000000004</c:v>
                </c:pt>
                <c:pt idx="2">
                  <c:v>65.681280000000001</c:v>
                </c:pt>
              </c:numCache>
            </c:numRef>
          </c:val>
          <c:extLst xmlns:c16r2="http://schemas.microsoft.com/office/drawing/2015/06/chart">
            <c:ext xmlns:c16="http://schemas.microsoft.com/office/drawing/2014/chart" uri="{C3380CC4-5D6E-409C-BE32-E72D297353CC}">
              <c16:uniqueId val="{00000005-5AD0-4897-A234-5C755152B579}"/>
            </c:ext>
          </c:extLst>
        </c:ser>
        <c:ser>
          <c:idx val="6"/>
          <c:order val="6"/>
          <c:tx>
            <c:strRef>
              <c:f>Grafer!$B$570</c:f>
              <c:strCache>
                <c:ptCount val="1"/>
                <c:pt idx="0">
                  <c:v>Benzin</c:v>
                </c:pt>
              </c:strCache>
            </c:strRef>
          </c:tx>
          <c:invertIfNegative val="0"/>
          <c:cat>
            <c:strRef>
              <c:f>Grafer!$C$101:$E$101</c:f>
              <c:strCache>
                <c:ptCount val="3"/>
                <c:pt idx="0">
                  <c:v>2018</c:v>
                </c:pt>
                <c:pt idx="1">
                  <c:v>BAU2030</c:v>
                </c:pt>
                <c:pt idx="2">
                  <c:v>BAU2050</c:v>
                </c:pt>
              </c:strCache>
            </c:strRef>
          </c:cat>
          <c:val>
            <c:numRef>
              <c:f>Grafer!$C$570:$E$570</c:f>
              <c:numCache>
                <c:formatCode>#,##0</c:formatCode>
                <c:ptCount val="3"/>
                <c:pt idx="0">
                  <c:v>72.7548149</c:v>
                </c:pt>
                <c:pt idx="1">
                  <c:v>57.492655771000003</c:v>
                </c:pt>
                <c:pt idx="2">
                  <c:v>14.609362980000002</c:v>
                </c:pt>
              </c:numCache>
            </c:numRef>
          </c:val>
          <c:extLst xmlns:c16r2="http://schemas.microsoft.com/office/drawing/2015/06/chart">
            <c:ext xmlns:c16="http://schemas.microsoft.com/office/drawing/2014/chart" uri="{C3380CC4-5D6E-409C-BE32-E72D297353CC}">
              <c16:uniqueId val="{00000006-5AD0-4897-A234-5C755152B579}"/>
            </c:ext>
          </c:extLst>
        </c:ser>
        <c:ser>
          <c:idx val="0"/>
          <c:order val="7"/>
          <c:tx>
            <c:strRef>
              <c:f>Grafer!$B$571</c:f>
              <c:strCache>
                <c:ptCount val="1"/>
                <c:pt idx="0">
                  <c:v>Affald, ikke bionedbrydeligt</c:v>
                </c:pt>
              </c:strCache>
            </c:strRef>
          </c:tx>
          <c:invertIfNegative val="0"/>
          <c:cat>
            <c:strRef>
              <c:f>Grafer!$C$101:$E$101</c:f>
              <c:strCache>
                <c:ptCount val="3"/>
                <c:pt idx="0">
                  <c:v>2018</c:v>
                </c:pt>
                <c:pt idx="1">
                  <c:v>BAU2030</c:v>
                </c:pt>
                <c:pt idx="2">
                  <c:v>BAU2050</c:v>
                </c:pt>
              </c:strCache>
            </c:strRef>
          </c:cat>
          <c:val>
            <c:numRef>
              <c:f>Grafer!$C$571:$E$571</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7-5AD0-4897-A234-5C755152B579}"/>
            </c:ext>
          </c:extLst>
        </c:ser>
        <c:dLbls>
          <c:showLegendKey val="0"/>
          <c:showVal val="0"/>
          <c:showCatName val="0"/>
          <c:showSerName val="0"/>
          <c:showPercent val="0"/>
          <c:showBubbleSize val="0"/>
        </c:dLbls>
        <c:gapWidth val="150"/>
        <c:overlap val="100"/>
        <c:axId val="352396104"/>
        <c:axId val="352397672"/>
      </c:barChart>
      <c:catAx>
        <c:axId val="3523961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397672"/>
        <c:crosses val="autoZero"/>
        <c:auto val="1"/>
        <c:lblAlgn val="ctr"/>
        <c:lblOffset val="100"/>
        <c:noMultiLvlLbl val="0"/>
      </c:catAx>
      <c:valAx>
        <c:axId val="3523976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3961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Grafer!$B$110</c:f>
              <c:strCache>
                <c:ptCount val="1"/>
                <c:pt idx="0">
                  <c:v>Affald, bionedbrydeligt</c:v>
                </c:pt>
              </c:strCache>
            </c:strRef>
          </c:tx>
          <c:invertIfNegative val="0"/>
          <c:cat>
            <c:strRef>
              <c:f>Grafer!$C$101:$E$101</c:f>
              <c:strCache>
                <c:ptCount val="3"/>
                <c:pt idx="0">
                  <c:v>2018</c:v>
                </c:pt>
                <c:pt idx="1">
                  <c:v>BAU2030</c:v>
                </c:pt>
                <c:pt idx="2">
                  <c:v>BAU2050</c:v>
                </c:pt>
              </c:strCache>
            </c:strRef>
          </c:cat>
          <c:val>
            <c:numRef>
              <c:f>Grafer!$C$110:$E$110</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3810-4230-AA3B-B63604EA7509}"/>
            </c:ext>
          </c:extLst>
        </c:ser>
        <c:ser>
          <c:idx val="1"/>
          <c:order val="1"/>
          <c:tx>
            <c:strRef>
              <c:f>Grafer!$B$111</c:f>
              <c:strCache>
                <c:ptCount val="1"/>
                <c:pt idx="0">
                  <c:v>Biomasse</c:v>
                </c:pt>
              </c:strCache>
            </c:strRef>
          </c:tx>
          <c:invertIfNegative val="0"/>
          <c:cat>
            <c:strRef>
              <c:f>Grafer!$C$101:$E$101</c:f>
              <c:strCache>
                <c:ptCount val="3"/>
                <c:pt idx="0">
                  <c:v>2018</c:v>
                </c:pt>
                <c:pt idx="1">
                  <c:v>BAU2030</c:v>
                </c:pt>
                <c:pt idx="2">
                  <c:v>BAU2050</c:v>
                </c:pt>
              </c:strCache>
            </c:strRef>
          </c:cat>
          <c:val>
            <c:numRef>
              <c:f>Grafer!$C$111:$E$111</c:f>
              <c:numCache>
                <c:formatCode>#,##0</c:formatCode>
                <c:ptCount val="3"/>
                <c:pt idx="0">
                  <c:v>3614.7764000000002</c:v>
                </c:pt>
                <c:pt idx="1">
                  <c:v>3489.6524600000002</c:v>
                </c:pt>
                <c:pt idx="2">
                  <c:v>3221.9262800000006</c:v>
                </c:pt>
              </c:numCache>
            </c:numRef>
          </c:val>
          <c:extLst xmlns:c16r2="http://schemas.microsoft.com/office/drawing/2015/06/chart">
            <c:ext xmlns:c16="http://schemas.microsoft.com/office/drawing/2014/chart" uri="{C3380CC4-5D6E-409C-BE32-E72D297353CC}">
              <c16:uniqueId val="{00000001-3810-4230-AA3B-B63604EA7509}"/>
            </c:ext>
          </c:extLst>
        </c:ser>
        <c:ser>
          <c:idx val="2"/>
          <c:order val="2"/>
          <c:tx>
            <c:strRef>
              <c:f>Grafer!$B$112</c:f>
              <c:strCache>
                <c:ptCount val="1"/>
                <c:pt idx="0">
                  <c:v>Vindenergi</c:v>
                </c:pt>
              </c:strCache>
            </c:strRef>
          </c:tx>
          <c:invertIfNegative val="0"/>
          <c:cat>
            <c:strRef>
              <c:f>Grafer!$C$101:$E$101</c:f>
              <c:strCache>
                <c:ptCount val="3"/>
                <c:pt idx="0">
                  <c:v>2018</c:v>
                </c:pt>
                <c:pt idx="1">
                  <c:v>BAU2030</c:v>
                </c:pt>
                <c:pt idx="2">
                  <c:v>BAU2050</c:v>
                </c:pt>
              </c:strCache>
            </c:strRef>
          </c:cat>
          <c:val>
            <c:numRef>
              <c:f>Grafer!$C$112:$E$112</c:f>
              <c:numCache>
                <c:formatCode>#,##0</c:formatCode>
                <c:ptCount val="3"/>
                <c:pt idx="0">
                  <c:v>1209.5999999999999</c:v>
                </c:pt>
                <c:pt idx="1">
                  <c:v>2195.6</c:v>
                </c:pt>
                <c:pt idx="2">
                  <c:v>1489.3999999999999</c:v>
                </c:pt>
              </c:numCache>
            </c:numRef>
          </c:val>
          <c:extLst xmlns:c16r2="http://schemas.microsoft.com/office/drawing/2015/06/chart">
            <c:ext xmlns:c16="http://schemas.microsoft.com/office/drawing/2014/chart" uri="{C3380CC4-5D6E-409C-BE32-E72D297353CC}">
              <c16:uniqueId val="{00000002-3810-4230-AA3B-B63604EA7509}"/>
            </c:ext>
          </c:extLst>
        </c:ser>
        <c:ser>
          <c:idx val="3"/>
          <c:order val="3"/>
          <c:tx>
            <c:strRef>
              <c:f>Grafer!$B$113</c:f>
              <c:strCache>
                <c:ptCount val="1"/>
                <c:pt idx="0">
                  <c:v>Biogas</c:v>
                </c:pt>
              </c:strCache>
            </c:strRef>
          </c:tx>
          <c:invertIfNegative val="0"/>
          <c:cat>
            <c:strRef>
              <c:f>Grafer!$C$101:$E$101</c:f>
              <c:strCache>
                <c:ptCount val="3"/>
                <c:pt idx="0">
                  <c:v>2018</c:v>
                </c:pt>
                <c:pt idx="1">
                  <c:v>BAU2030</c:v>
                </c:pt>
                <c:pt idx="2">
                  <c:v>BAU2050</c:v>
                </c:pt>
              </c:strCache>
            </c:strRef>
          </c:cat>
          <c:val>
            <c:numRef>
              <c:f>Grafer!$C$113:$E$113</c:f>
              <c:numCache>
                <c:formatCode>#,##0</c:formatCode>
                <c:ptCount val="3"/>
                <c:pt idx="0">
                  <c:v>30.7</c:v>
                </c:pt>
                <c:pt idx="1">
                  <c:v>29.472000000000001</c:v>
                </c:pt>
                <c:pt idx="2">
                  <c:v>27.630000000000003</c:v>
                </c:pt>
              </c:numCache>
            </c:numRef>
          </c:val>
          <c:extLst xmlns:c16r2="http://schemas.microsoft.com/office/drawing/2015/06/chart">
            <c:ext xmlns:c16="http://schemas.microsoft.com/office/drawing/2014/chart" uri="{C3380CC4-5D6E-409C-BE32-E72D297353CC}">
              <c16:uniqueId val="{00000003-3810-4230-AA3B-B63604EA7509}"/>
            </c:ext>
          </c:extLst>
        </c:ser>
        <c:ser>
          <c:idx val="4"/>
          <c:order val="4"/>
          <c:tx>
            <c:strRef>
              <c:f>Grafer!$B$114</c:f>
              <c:strCache>
                <c:ptCount val="1"/>
                <c:pt idx="0">
                  <c:v>Solenergi</c:v>
                </c:pt>
              </c:strCache>
            </c:strRef>
          </c:tx>
          <c:invertIfNegative val="0"/>
          <c:cat>
            <c:strRef>
              <c:f>Grafer!$C$101:$E$101</c:f>
              <c:strCache>
                <c:ptCount val="3"/>
                <c:pt idx="0">
                  <c:v>2018</c:v>
                </c:pt>
                <c:pt idx="1">
                  <c:v>BAU2030</c:v>
                </c:pt>
                <c:pt idx="2">
                  <c:v>BAU2050</c:v>
                </c:pt>
              </c:strCache>
            </c:strRef>
          </c:cat>
          <c:val>
            <c:numRef>
              <c:f>Grafer!$C$114:$E$114</c:f>
              <c:numCache>
                <c:formatCode>#,##0</c:formatCode>
                <c:ptCount val="3"/>
                <c:pt idx="0">
                  <c:v>73.099999999999994</c:v>
                </c:pt>
                <c:pt idx="1">
                  <c:v>237.26000000000002</c:v>
                </c:pt>
                <c:pt idx="2">
                  <c:v>237.26000000000002</c:v>
                </c:pt>
              </c:numCache>
            </c:numRef>
          </c:val>
          <c:extLst xmlns:c16r2="http://schemas.microsoft.com/office/drawing/2015/06/chart">
            <c:ext xmlns:c16="http://schemas.microsoft.com/office/drawing/2014/chart" uri="{C3380CC4-5D6E-409C-BE32-E72D297353CC}">
              <c16:uniqueId val="{00000004-3810-4230-AA3B-B63604EA7509}"/>
            </c:ext>
          </c:extLst>
        </c:ser>
        <c:ser>
          <c:idx val="5"/>
          <c:order val="5"/>
          <c:tx>
            <c:strRef>
              <c:f>Grafer!$B$115</c:f>
              <c:strCache>
                <c:ptCount val="1"/>
                <c:pt idx="0">
                  <c:v>Jordvarme, geotermi, vandkraft mm.</c:v>
                </c:pt>
              </c:strCache>
            </c:strRef>
          </c:tx>
          <c:invertIfNegative val="0"/>
          <c:cat>
            <c:strRef>
              <c:f>Grafer!$C$101:$E$101</c:f>
              <c:strCache>
                <c:ptCount val="3"/>
                <c:pt idx="0">
                  <c:v>2018</c:v>
                </c:pt>
                <c:pt idx="1">
                  <c:v>BAU2030</c:v>
                </c:pt>
                <c:pt idx="2">
                  <c:v>BAU2050</c:v>
                </c:pt>
              </c:strCache>
            </c:strRef>
          </c:cat>
          <c:val>
            <c:numRef>
              <c:f>Grafer!$C$115:$E$115</c:f>
              <c:numCache>
                <c:formatCode>#,##0</c:formatCode>
                <c:ptCount val="3"/>
                <c:pt idx="0">
                  <c:v>18</c:v>
                </c:pt>
                <c:pt idx="1">
                  <c:v>207.98000000000002</c:v>
                </c:pt>
                <c:pt idx="2">
                  <c:v>273</c:v>
                </c:pt>
              </c:numCache>
            </c:numRef>
          </c:val>
          <c:extLst xmlns:c16r2="http://schemas.microsoft.com/office/drawing/2015/06/chart">
            <c:ext xmlns:c16="http://schemas.microsoft.com/office/drawing/2014/chart" uri="{C3380CC4-5D6E-409C-BE32-E72D297353CC}">
              <c16:uniqueId val="{00000005-3810-4230-AA3B-B63604EA7509}"/>
            </c:ext>
          </c:extLst>
        </c:ser>
        <c:ser>
          <c:idx val="6"/>
          <c:order val="6"/>
          <c:tx>
            <c:strRef>
              <c:f>Grafer!$B$116</c:f>
              <c:strCache>
                <c:ptCount val="1"/>
                <c:pt idx="0">
                  <c:v>Elimport (VE-baseret)</c:v>
                </c:pt>
              </c:strCache>
            </c:strRef>
          </c:tx>
          <c:invertIfNegative val="0"/>
          <c:cat>
            <c:strRef>
              <c:f>Grafer!$C$101:$E$101</c:f>
              <c:strCache>
                <c:ptCount val="3"/>
                <c:pt idx="0">
                  <c:v>2018</c:v>
                </c:pt>
                <c:pt idx="1">
                  <c:v>BAU2030</c:v>
                </c:pt>
                <c:pt idx="2">
                  <c:v>BAU2050</c:v>
                </c:pt>
              </c:strCache>
            </c:strRef>
          </c:cat>
          <c:val>
            <c:numRef>
              <c:f>Grafer!$C$116:$E$116</c:f>
              <c:numCache>
                <c:formatCode>#,##0</c:formatCode>
                <c:ptCount val="3"/>
                <c:pt idx="0">
                  <c:v>-57.61743856890056</c:v>
                </c:pt>
                <c:pt idx="1">
                  <c:v>-392.29698924414072</c:v>
                </c:pt>
                <c:pt idx="2">
                  <c:v>382.89561361760877</c:v>
                </c:pt>
              </c:numCache>
            </c:numRef>
          </c:val>
          <c:extLst xmlns:c16r2="http://schemas.microsoft.com/office/drawing/2015/06/char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352395712"/>
        <c:axId val="352396496"/>
      </c:barChart>
      <c:catAx>
        <c:axId val="352395712"/>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da-DK"/>
          </a:p>
        </c:txPr>
        <c:crossAx val="352396496"/>
        <c:crosses val="autoZero"/>
        <c:auto val="1"/>
        <c:lblAlgn val="ctr"/>
        <c:lblOffset val="100"/>
        <c:noMultiLvlLbl val="0"/>
      </c:catAx>
      <c:valAx>
        <c:axId val="3523964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395712"/>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Grafer!$B$305</c:f>
              <c:strCache>
                <c:ptCount val="1"/>
                <c:pt idx="0">
                  <c:v>Individuel opvarmning</c:v>
                </c:pt>
              </c:strCache>
            </c:strRef>
          </c:tx>
          <c:invertIfNegative val="0"/>
          <c:cat>
            <c:strRef>
              <c:f>Grafer!$C$304:$E$304</c:f>
              <c:strCache>
                <c:ptCount val="3"/>
                <c:pt idx="0">
                  <c:v>2018</c:v>
                </c:pt>
                <c:pt idx="1">
                  <c:v>BAU2030</c:v>
                </c:pt>
                <c:pt idx="2">
                  <c:v>BAU2050</c:v>
                </c:pt>
              </c:strCache>
            </c:strRef>
          </c:cat>
          <c:val>
            <c:numRef>
              <c:f>Grafer!$C$305:$E$305</c:f>
              <c:numCache>
                <c:formatCode>#,##0</c:formatCode>
                <c:ptCount val="3"/>
                <c:pt idx="0">
                  <c:v>1374.2</c:v>
                </c:pt>
                <c:pt idx="1">
                  <c:v>1344.2516000000001</c:v>
                </c:pt>
                <c:pt idx="2">
                  <c:v>1327.5899999999997</c:v>
                </c:pt>
              </c:numCache>
            </c:numRef>
          </c:val>
          <c:extLst xmlns:c16r2="http://schemas.microsoft.com/office/drawing/2015/06/chart">
            <c:ext xmlns:c16="http://schemas.microsoft.com/office/drawing/2014/chart" uri="{C3380CC4-5D6E-409C-BE32-E72D297353CC}">
              <c16:uniqueId val="{00000000-45DB-4F77-9491-816DE33B6FB3}"/>
            </c:ext>
          </c:extLst>
        </c:ser>
        <c:ser>
          <c:idx val="1"/>
          <c:order val="1"/>
          <c:tx>
            <c:strRef>
              <c:f>Grafer!$B$306</c:f>
              <c:strCache>
                <c:ptCount val="1"/>
                <c:pt idx="0">
                  <c:v>Kollektiv el- og varmeforsyning</c:v>
                </c:pt>
              </c:strCache>
            </c:strRef>
          </c:tx>
          <c:invertIfNegative val="0"/>
          <c:cat>
            <c:strRef>
              <c:f>Grafer!$C$304:$E$304</c:f>
              <c:strCache>
                <c:ptCount val="3"/>
                <c:pt idx="0">
                  <c:v>2018</c:v>
                </c:pt>
                <c:pt idx="1">
                  <c:v>BAU2030</c:v>
                </c:pt>
                <c:pt idx="2">
                  <c:v>BAU2050</c:v>
                </c:pt>
              </c:strCache>
            </c:strRef>
          </c:cat>
          <c:val>
            <c:numRef>
              <c:f>Grafer!$C$306:$E$306</c:f>
              <c:numCache>
                <c:formatCode>#,##0</c:formatCode>
                <c:ptCount val="3"/>
                <c:pt idx="0">
                  <c:v>2890.4</c:v>
                </c:pt>
                <c:pt idx="1">
                  <c:v>2708.7283200000002</c:v>
                </c:pt>
                <c:pt idx="2">
                  <c:v>2543.4737999999998</c:v>
                </c:pt>
              </c:numCache>
            </c:numRef>
          </c:val>
          <c:extLst xmlns:c16r2="http://schemas.microsoft.com/office/drawing/2015/06/chart">
            <c:ext xmlns:c16="http://schemas.microsoft.com/office/drawing/2014/chart" uri="{C3380CC4-5D6E-409C-BE32-E72D297353CC}">
              <c16:uniqueId val="{00000001-45DB-4F77-9491-816DE33B6FB3}"/>
            </c:ext>
          </c:extLst>
        </c:ser>
        <c:ser>
          <c:idx val="2"/>
          <c:order val="2"/>
          <c:tx>
            <c:strRef>
              <c:f>Grafer!$B$307</c:f>
              <c:strCache>
                <c:ptCount val="1"/>
                <c:pt idx="0">
                  <c:v>Industri</c:v>
                </c:pt>
              </c:strCache>
            </c:strRef>
          </c:tx>
          <c:invertIfNegative val="0"/>
          <c:cat>
            <c:strRef>
              <c:f>Grafer!$C$304:$E$304</c:f>
              <c:strCache>
                <c:ptCount val="3"/>
                <c:pt idx="0">
                  <c:v>2018</c:v>
                </c:pt>
                <c:pt idx="1">
                  <c:v>BAU2030</c:v>
                </c:pt>
                <c:pt idx="2">
                  <c:v>BAU2050</c:v>
                </c:pt>
              </c:strCache>
            </c:strRef>
          </c:cat>
          <c:val>
            <c:numRef>
              <c:f>Grafer!$C$307:$E$307</c:f>
              <c:numCache>
                <c:formatCode>#,##0</c:formatCode>
                <c:ptCount val="3"/>
                <c:pt idx="0">
                  <c:v>770.9</c:v>
                </c:pt>
                <c:pt idx="1">
                  <c:v>770.9</c:v>
                </c:pt>
                <c:pt idx="2">
                  <c:v>770.9</c:v>
                </c:pt>
              </c:numCache>
            </c:numRef>
          </c:val>
          <c:extLst xmlns:c16r2="http://schemas.microsoft.com/office/drawing/2015/06/chart">
            <c:ext xmlns:c16="http://schemas.microsoft.com/office/drawing/2014/chart" uri="{C3380CC4-5D6E-409C-BE32-E72D297353CC}">
              <c16:uniqueId val="{00000002-45DB-4F77-9491-816DE33B6FB3}"/>
            </c:ext>
          </c:extLst>
        </c:ser>
        <c:ser>
          <c:idx val="3"/>
          <c:order val="3"/>
          <c:tx>
            <c:strRef>
              <c:f>Grafer!$B$308</c:f>
              <c:strCache>
                <c:ptCount val="1"/>
                <c:pt idx="0">
                  <c:v>Transport</c:v>
                </c:pt>
              </c:strCache>
            </c:strRef>
          </c:tx>
          <c:invertIfNegative val="0"/>
          <c:cat>
            <c:strRef>
              <c:f>Grafer!$C$304:$E$304</c:f>
              <c:strCache>
                <c:ptCount val="3"/>
                <c:pt idx="0">
                  <c:v>2018</c:v>
                </c:pt>
                <c:pt idx="1">
                  <c:v>BAU2030</c:v>
                </c:pt>
                <c:pt idx="2">
                  <c:v>BAU2050</c:v>
                </c:pt>
              </c:strCache>
            </c:strRef>
          </c:cat>
          <c:val>
            <c:numRef>
              <c:f>Grafer!$C$308:$E$308</c:f>
              <c:numCache>
                <c:formatCode>#,##0</c:formatCode>
                <c:ptCount val="3"/>
                <c:pt idx="0">
                  <c:v>3748.8</c:v>
                </c:pt>
                <c:pt idx="1">
                  <c:v>3444.9960639999999</c:v>
                </c:pt>
                <c:pt idx="2">
                  <c:v>2188.4249999999997</c:v>
                </c:pt>
              </c:numCache>
            </c:numRef>
          </c:val>
          <c:extLst xmlns:c16r2="http://schemas.microsoft.com/office/drawing/2015/06/chart">
            <c:ext xmlns:c16="http://schemas.microsoft.com/office/drawing/2014/chart" uri="{C3380CC4-5D6E-409C-BE32-E72D297353CC}">
              <c16:uniqueId val="{00000003-45DB-4F77-9491-816DE33B6FB3}"/>
            </c:ext>
          </c:extLst>
        </c:ser>
        <c:ser>
          <c:idx val="4"/>
          <c:order val="4"/>
          <c:tx>
            <c:strRef>
              <c:f>Grafer!$B$309</c:f>
              <c:strCache>
                <c:ptCount val="1"/>
                <c:pt idx="0">
                  <c:v>Vindkraft mm.</c:v>
                </c:pt>
              </c:strCache>
            </c:strRef>
          </c:tx>
          <c:invertIfNegative val="0"/>
          <c:cat>
            <c:strRef>
              <c:f>Grafer!$C$304:$E$304</c:f>
              <c:strCache>
                <c:ptCount val="3"/>
                <c:pt idx="0">
                  <c:v>2018</c:v>
                </c:pt>
                <c:pt idx="1">
                  <c:v>BAU2030</c:v>
                </c:pt>
                <c:pt idx="2">
                  <c:v>BAU2050</c:v>
                </c:pt>
              </c:strCache>
            </c:strRef>
          </c:cat>
          <c:val>
            <c:numRef>
              <c:f>Grafer!$C$309:$E$309</c:f>
              <c:numCache>
                <c:formatCode>#,##0</c:formatCode>
                <c:ptCount val="3"/>
                <c:pt idx="0">
                  <c:v>1251.5999999999999</c:v>
                </c:pt>
                <c:pt idx="1">
                  <c:v>2390.6</c:v>
                </c:pt>
                <c:pt idx="2">
                  <c:v>1684.3999999999999</c:v>
                </c:pt>
              </c:numCache>
            </c:numRef>
          </c:val>
          <c:extLst xmlns:c16r2="http://schemas.microsoft.com/office/drawing/2015/06/chart">
            <c:ext xmlns:c16="http://schemas.microsoft.com/office/drawing/2014/chart" uri="{C3380CC4-5D6E-409C-BE32-E72D297353CC}">
              <c16:uniqueId val="{00000004-45DB-4F77-9491-816DE33B6FB3}"/>
            </c:ext>
          </c:extLst>
        </c:ser>
        <c:ser>
          <c:idx val="5"/>
          <c:order val="5"/>
          <c:tx>
            <c:strRef>
              <c:f>Grafer!$B$310</c:f>
              <c:strCache>
                <c:ptCount val="1"/>
                <c:pt idx="0">
                  <c:v>El-import</c:v>
                </c:pt>
              </c:strCache>
            </c:strRef>
          </c:tx>
          <c:invertIfNegative val="0"/>
          <c:cat>
            <c:strRef>
              <c:f>Grafer!$C$304:$E$304</c:f>
              <c:strCache>
                <c:ptCount val="3"/>
                <c:pt idx="0">
                  <c:v>2018</c:v>
                </c:pt>
                <c:pt idx="1">
                  <c:v>BAU2030</c:v>
                </c:pt>
                <c:pt idx="2">
                  <c:v>BAU2050</c:v>
                </c:pt>
              </c:strCache>
            </c:strRef>
          </c:cat>
          <c:val>
            <c:numRef>
              <c:f>Grafer!$C$310:$E$310</c:f>
              <c:numCache>
                <c:formatCode>#,##0</c:formatCode>
                <c:ptCount val="3"/>
                <c:pt idx="0">
                  <c:v>-130.94872402022855</c:v>
                </c:pt>
                <c:pt idx="1">
                  <c:v>-891.58406646395622</c:v>
                </c:pt>
                <c:pt idx="2">
                  <c:v>382.89561361760877</c:v>
                </c:pt>
              </c:numCache>
            </c:numRef>
          </c:val>
          <c:extLst xmlns:c16r2="http://schemas.microsoft.com/office/drawing/2015/06/chart">
            <c:ext xmlns:c16="http://schemas.microsoft.com/office/drawing/2014/chart" uri="{C3380CC4-5D6E-409C-BE32-E72D297353CC}">
              <c16:uniqueId val="{00000005-45DB-4F77-9491-816DE33B6FB3}"/>
            </c:ext>
          </c:extLst>
        </c:ser>
        <c:ser>
          <c:idx val="6"/>
          <c:order val="6"/>
          <c:tx>
            <c:strRef>
              <c:f>Grafer!$B$311</c:f>
              <c:strCache>
                <c:ptCount val="1"/>
                <c:pt idx="0">
                  <c:v>I alt</c:v>
                </c:pt>
              </c:strCache>
            </c:strRef>
          </c:tx>
          <c:invertIfNegative val="0"/>
          <c:cat>
            <c:strRef>
              <c:f>Grafer!$C$304:$E$304</c:f>
              <c:strCache>
                <c:ptCount val="3"/>
                <c:pt idx="0">
                  <c:v>2018</c:v>
                </c:pt>
                <c:pt idx="1">
                  <c:v>BAU2030</c:v>
                </c:pt>
                <c:pt idx="2">
                  <c:v>BAU2050</c:v>
                </c:pt>
              </c:strCache>
            </c:strRef>
          </c:cat>
          <c:val>
            <c:numRef>
              <c:f>Grafer!$C$311:$E$311</c:f>
              <c:numCache>
                <c:formatCode>#,##0</c:formatCode>
                <c:ptCount val="3"/>
                <c:pt idx="0">
                  <c:v>9904.9512759797708</c:v>
                </c:pt>
                <c:pt idx="1">
                  <c:v>9767.8919175360443</c:v>
                </c:pt>
                <c:pt idx="2">
                  <c:v>8897.6844136176078</c:v>
                </c:pt>
              </c:numCache>
            </c:numRef>
          </c:val>
          <c:extLst xmlns:c16r2="http://schemas.microsoft.com/office/drawing/2015/06/chart">
            <c:ext xmlns:c16="http://schemas.microsoft.com/office/drawing/2014/chart" uri="{C3380CC4-5D6E-409C-BE32-E72D297353CC}">
              <c16:uniqueId val="{00000000-0B38-4ACD-A95F-176AD63ADD1B}"/>
            </c:ext>
          </c:extLst>
        </c:ser>
        <c:dLbls>
          <c:showLegendKey val="0"/>
          <c:showVal val="0"/>
          <c:showCatName val="0"/>
          <c:showSerName val="0"/>
          <c:showPercent val="0"/>
          <c:showBubbleSize val="0"/>
        </c:dLbls>
        <c:gapWidth val="150"/>
        <c:overlap val="100"/>
        <c:axId val="352394928"/>
        <c:axId val="352395320"/>
      </c:barChart>
      <c:catAx>
        <c:axId val="352394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395320"/>
        <c:crosses val="autoZero"/>
        <c:auto val="1"/>
        <c:lblAlgn val="ctr"/>
        <c:lblOffset val="100"/>
        <c:noMultiLvlLbl val="0"/>
      </c:catAx>
      <c:valAx>
        <c:axId val="3523953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39492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050972222223144E-2"/>
          <c:y val="3.465346534653465E-2"/>
          <c:w val="0.62995638888888894"/>
          <c:h val="0.82134747474747483"/>
        </c:manualLayout>
      </c:layout>
      <c:barChart>
        <c:barDir val="col"/>
        <c:grouping val="stacked"/>
        <c:varyColors val="0"/>
        <c:ser>
          <c:idx val="0"/>
          <c:order val="0"/>
          <c:tx>
            <c:strRef>
              <c:f>Grafer!$B$305</c:f>
              <c:strCache>
                <c:ptCount val="1"/>
                <c:pt idx="0">
                  <c:v>Individuel opvarmning</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Grafer!$F$305:$K$305</c15:sqref>
                  </c15:fullRef>
                </c:ext>
              </c:extLst>
              <c:f>Grafer!$F$305:$K$305</c:f>
              <c:numCache>
                <c:formatCode>#,##0</c:formatCode>
                <c:ptCount val="6"/>
                <c:pt idx="0">
                  <c:v>871</c:v>
                </c:pt>
                <c:pt idx="1">
                  <c:v>1027.73</c:v>
                </c:pt>
                <c:pt idx="2">
                  <c:v>1053.0299999999997</c:v>
                </c:pt>
                <c:pt idx="3">
                  <c:v>503.20000000000005</c:v>
                </c:pt>
                <c:pt idx="4">
                  <c:v>316.52160000000003</c:v>
                </c:pt>
                <c:pt idx="5">
                  <c:v>274.55999999999995</c:v>
                </c:pt>
              </c:numCache>
            </c:numRef>
          </c:val>
          <c:extLst xmlns:c16r2="http://schemas.microsoft.com/office/drawing/2015/06/chart">
            <c:ext xmlns:c16="http://schemas.microsoft.com/office/drawing/2014/chart" uri="{C3380CC4-5D6E-409C-BE32-E72D297353CC}">
              <c16:uniqueId val="{00000000-0908-45CB-80C8-77F5885B9ACC}"/>
            </c:ext>
          </c:extLst>
        </c:ser>
        <c:ser>
          <c:idx val="1"/>
          <c:order val="1"/>
          <c:tx>
            <c:strRef>
              <c:f>Grafer!$B$306</c:f>
              <c:strCache>
                <c:ptCount val="1"/>
                <c:pt idx="0">
                  <c:v>Kollektiv el- og varmeforsyning</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Grafer!$F$306:$T$306</c15:sqref>
                  </c15:fullRef>
                </c:ext>
              </c:extLst>
              <c:f>Grafer!$F$306:$K$306</c:f>
              <c:numCache>
                <c:formatCode>#,##0</c:formatCode>
                <c:ptCount val="6"/>
                <c:pt idx="0">
                  <c:v>2688.0000000000005</c:v>
                </c:pt>
                <c:pt idx="1">
                  <c:v>2617.5120000000002</c:v>
                </c:pt>
                <c:pt idx="2">
                  <c:v>2457.5400000000004</c:v>
                </c:pt>
                <c:pt idx="3">
                  <c:v>202.39999999999964</c:v>
                </c:pt>
                <c:pt idx="4">
                  <c:v>91.216319999999996</c:v>
                </c:pt>
                <c:pt idx="5">
                  <c:v>85.933799999999337</c:v>
                </c:pt>
              </c:numCache>
            </c:numRef>
          </c:val>
          <c:extLst xmlns:c16r2="http://schemas.microsoft.com/office/drawing/2015/06/chart">
            <c:ext xmlns:c16="http://schemas.microsoft.com/office/drawing/2014/chart" uri="{C3380CC4-5D6E-409C-BE32-E72D297353CC}">
              <c16:uniqueId val="{00000001-0908-45CB-80C8-77F5885B9ACC}"/>
            </c:ext>
          </c:extLst>
        </c:ser>
        <c:ser>
          <c:idx val="2"/>
          <c:order val="2"/>
          <c:tx>
            <c:strRef>
              <c:f>Grafer!$B$307</c:f>
              <c:strCache>
                <c:ptCount val="1"/>
                <c:pt idx="0">
                  <c:v>Industri</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Grafer!$F$307:$T$307</c15:sqref>
                  </c15:fullRef>
                </c:ext>
              </c:extLst>
              <c:f>Grafer!$F$307:$K$307</c:f>
              <c:numCache>
                <c:formatCode>#,##0</c:formatCode>
                <c:ptCount val="6"/>
                <c:pt idx="0">
                  <c:v>1</c:v>
                </c:pt>
                <c:pt idx="1">
                  <c:v>1</c:v>
                </c:pt>
                <c:pt idx="2">
                  <c:v>1</c:v>
                </c:pt>
                <c:pt idx="3">
                  <c:v>769.9</c:v>
                </c:pt>
                <c:pt idx="4">
                  <c:v>769.9</c:v>
                </c:pt>
                <c:pt idx="5">
                  <c:v>769.9</c:v>
                </c:pt>
              </c:numCache>
            </c:numRef>
          </c:val>
          <c:extLst xmlns:c16r2="http://schemas.microsoft.com/office/drawing/2015/06/chart">
            <c:ext xmlns:c16="http://schemas.microsoft.com/office/drawing/2014/chart" uri="{C3380CC4-5D6E-409C-BE32-E72D297353CC}">
              <c16:uniqueId val="{00000002-0908-45CB-80C8-77F5885B9ACC}"/>
            </c:ext>
          </c:extLst>
        </c:ser>
        <c:ser>
          <c:idx val="3"/>
          <c:order val="3"/>
          <c:tx>
            <c:strRef>
              <c:f>Grafer!$B$308</c:f>
              <c:strCache>
                <c:ptCount val="1"/>
                <c:pt idx="0">
                  <c:v>Transport</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Grafer!$F$308:$T$308</c15:sqref>
                  </c15:fullRef>
                </c:ext>
              </c:extLst>
              <c:f>Grafer!$F$308:$K$308</c:f>
              <c:numCache>
                <c:formatCode>#,##0</c:formatCode>
                <c:ptCount val="6"/>
                <c:pt idx="0">
                  <c:v>134.57640000000001</c:v>
                </c:pt>
                <c:pt idx="1">
                  <c:v>123.12246000000002</c:v>
                </c:pt>
                <c:pt idx="2">
                  <c:v>53.246280000000006</c:v>
                </c:pt>
                <c:pt idx="3">
                  <c:v>3614.2236000000003</c:v>
                </c:pt>
                <c:pt idx="4">
                  <c:v>3321.8736039999999</c:v>
                </c:pt>
                <c:pt idx="5">
                  <c:v>2135.1787199999999</c:v>
                </c:pt>
              </c:numCache>
            </c:numRef>
          </c:val>
          <c:extLst xmlns:c16r2="http://schemas.microsoft.com/office/drawing/2015/06/chart">
            <c:ext xmlns:c16="http://schemas.microsoft.com/office/drawing/2014/chart" uri="{C3380CC4-5D6E-409C-BE32-E72D297353CC}">
              <c16:uniqueId val="{00000003-0908-45CB-80C8-77F5885B9ACC}"/>
            </c:ext>
          </c:extLst>
        </c:ser>
        <c:ser>
          <c:idx val="4"/>
          <c:order val="4"/>
          <c:tx>
            <c:strRef>
              <c:f>Grafer!$B$309</c:f>
              <c:strCache>
                <c:ptCount val="1"/>
                <c:pt idx="0">
                  <c:v>Vindkraft mm.</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Grafer!$F$309:$T$309</c15:sqref>
                  </c15:fullRef>
                </c:ext>
              </c:extLst>
              <c:f>Grafer!$F$309:$K$309</c:f>
              <c:numCache>
                <c:formatCode>#,##0</c:formatCode>
                <c:ptCount val="6"/>
                <c:pt idx="0">
                  <c:v>1251.5999999999999</c:v>
                </c:pt>
                <c:pt idx="1">
                  <c:v>2390.6</c:v>
                </c:pt>
                <c:pt idx="2">
                  <c:v>1684.3999999999999</c:v>
                </c:pt>
                <c:pt idx="3">
                  <c:v>0</c:v>
                </c:pt>
                <c:pt idx="4">
                  <c:v>0</c:v>
                </c:pt>
                <c:pt idx="5">
                  <c:v>0</c:v>
                </c:pt>
              </c:numCache>
            </c:numRef>
          </c:val>
          <c:extLst xmlns:c16r2="http://schemas.microsoft.com/office/drawing/2015/06/chart">
            <c:ext xmlns:c16="http://schemas.microsoft.com/office/drawing/2014/chart" uri="{C3380CC4-5D6E-409C-BE32-E72D297353CC}">
              <c16:uniqueId val="{00000004-0908-45CB-80C8-77F5885B9ACC}"/>
            </c:ext>
          </c:extLst>
        </c:ser>
        <c:ser>
          <c:idx val="5"/>
          <c:order val="5"/>
          <c:tx>
            <c:strRef>
              <c:f>Grafer!$B$310</c:f>
              <c:strCache>
                <c:ptCount val="1"/>
                <c:pt idx="0">
                  <c:v>El-import</c:v>
                </c:pt>
              </c:strCache>
            </c:strRef>
          </c:tx>
          <c:invertIfNegative val="0"/>
          <c:cat>
            <c:multiLvlStrRef>
              <c:extLst>
                <c:ext xmlns:c15="http://schemas.microsoft.com/office/drawing/2012/chart" uri="{02D57815-91ED-43cb-92C2-25804820EDAC}">
                  <c15:fullRef>
                    <c15:sqref>Grafer!$F$303:$AM$304</c15:sqref>
                  </c15:fullRef>
                </c:ext>
              </c:extLst>
              <c:f>Grafer!$F$303:$AM$304</c:f>
              <c:multiLvlStrCache>
                <c:ptCount val="6"/>
                <c:lvl>
                  <c:pt idx="0">
                    <c:v>2018</c:v>
                  </c:pt>
                  <c:pt idx="1">
                    <c:v>BAU2030</c:v>
                  </c:pt>
                  <c:pt idx="2">
                    <c:v>BAU2050</c:v>
                  </c:pt>
                  <c:pt idx="3">
                    <c:v>2018</c:v>
                  </c:pt>
                  <c:pt idx="4">
                    <c:v>BAU2030</c:v>
                  </c:pt>
                  <c:pt idx="5">
                    <c:v>BAU2050</c:v>
                  </c:pt>
                </c:lvl>
                <c:lvl>
                  <c:pt idx="0">
                    <c:v>VE</c:v>
                  </c:pt>
                  <c:pt idx="1">
                    <c:v>VE</c:v>
                  </c:pt>
                  <c:pt idx="2">
                    <c:v>VE</c:v>
                  </c:pt>
                  <c:pt idx="3">
                    <c:v>Fossil</c:v>
                  </c:pt>
                  <c:pt idx="4">
                    <c:v>Fossil</c:v>
                  </c:pt>
                  <c:pt idx="5">
                    <c:v>Fossil</c:v>
                  </c:pt>
                </c:lvl>
              </c:multiLvlStrCache>
            </c:multiLvlStrRef>
          </c:cat>
          <c:val>
            <c:numRef>
              <c:extLst>
                <c:ext xmlns:c15="http://schemas.microsoft.com/office/drawing/2012/chart" uri="{02D57815-91ED-43cb-92C2-25804820EDAC}">
                  <c15:fullRef>
                    <c15:sqref>Grafer!$F$310:$T$310</c15:sqref>
                  </c15:fullRef>
                </c:ext>
              </c:extLst>
              <c:f>Grafer!$F$310:$K$310</c:f>
              <c:numCache>
                <c:formatCode>#,##0</c:formatCode>
                <c:ptCount val="6"/>
                <c:pt idx="0">
                  <c:v>-57.61743856890056</c:v>
                </c:pt>
                <c:pt idx="1">
                  <c:v>-392.29698924414072</c:v>
                </c:pt>
                <c:pt idx="2">
                  <c:v>382.89561361760877</c:v>
                </c:pt>
                <c:pt idx="3">
                  <c:v>-73.331285451328</c:v>
                </c:pt>
                <c:pt idx="4">
                  <c:v>-499.2870772198155</c:v>
                </c:pt>
                <c:pt idx="5">
                  <c:v>0</c:v>
                </c:pt>
              </c:numCache>
            </c:numRef>
          </c:val>
          <c:extLst xmlns:c16r2="http://schemas.microsoft.com/office/drawing/2015/06/char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352400808"/>
        <c:axId val="352401200"/>
      </c:barChart>
      <c:catAx>
        <c:axId val="352400808"/>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da-DK"/>
          </a:p>
        </c:txPr>
        <c:crossAx val="352401200"/>
        <c:crosses val="autoZero"/>
        <c:auto val="1"/>
        <c:lblAlgn val="ctr"/>
        <c:lblOffset val="100"/>
        <c:noMultiLvlLbl val="0"/>
      </c:catAx>
      <c:valAx>
        <c:axId val="35240120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40080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Grafer!$B$643</c:f>
              <c:strCache>
                <c:ptCount val="1"/>
                <c:pt idx="0">
                  <c:v>Individuel opvarmning</c:v>
                </c:pt>
              </c:strCache>
            </c:strRef>
          </c:tx>
          <c:invertIfNegative val="0"/>
          <c:cat>
            <c:strRef>
              <c:f>Grafer!$C$642:$E$642</c:f>
              <c:strCache>
                <c:ptCount val="3"/>
                <c:pt idx="0">
                  <c:v>2018</c:v>
                </c:pt>
                <c:pt idx="1">
                  <c:v>BAU2030</c:v>
                </c:pt>
                <c:pt idx="2">
                  <c:v>BAU2050</c:v>
                </c:pt>
              </c:strCache>
            </c:strRef>
          </c:cat>
          <c:val>
            <c:numRef>
              <c:f>Grafer!$C$643:$E$643</c:f>
              <c:numCache>
                <c:formatCode>#,##0</c:formatCode>
                <c:ptCount val="3"/>
                <c:pt idx="0">
                  <c:v>31.159299999999998</c:v>
                </c:pt>
                <c:pt idx="1">
                  <c:v>18.755078399999999</c:v>
                </c:pt>
                <c:pt idx="2">
                  <c:v>15.64992</c:v>
                </c:pt>
              </c:numCache>
            </c:numRef>
          </c:val>
          <c:extLst xmlns:c16r2="http://schemas.microsoft.com/office/drawing/2015/06/chart">
            <c:ext xmlns:c16="http://schemas.microsoft.com/office/drawing/2014/chart" uri="{C3380CC4-5D6E-409C-BE32-E72D297353CC}">
              <c16:uniqueId val="{00000000-E124-455E-B00C-BDB19BBFD963}"/>
            </c:ext>
          </c:extLst>
        </c:ser>
        <c:ser>
          <c:idx val="1"/>
          <c:order val="1"/>
          <c:tx>
            <c:strRef>
              <c:f>Grafer!$B$644</c:f>
              <c:strCache>
                <c:ptCount val="1"/>
                <c:pt idx="0">
                  <c:v>Kollektiv el- og varmeforsyning</c:v>
                </c:pt>
              </c:strCache>
            </c:strRef>
          </c:tx>
          <c:invertIfNegative val="0"/>
          <c:cat>
            <c:strRef>
              <c:f>Grafer!$C$642:$E$642</c:f>
              <c:strCache>
                <c:ptCount val="3"/>
                <c:pt idx="0">
                  <c:v>2018</c:v>
                </c:pt>
                <c:pt idx="1">
                  <c:v>BAU2030</c:v>
                </c:pt>
                <c:pt idx="2">
                  <c:v>BAU2050</c:v>
                </c:pt>
              </c:strCache>
            </c:strRef>
          </c:cat>
          <c:val>
            <c:numRef>
              <c:f>Grafer!$C$644:$E$644</c:f>
              <c:numCache>
                <c:formatCode>#,##0</c:formatCode>
                <c:ptCount val="3"/>
                <c:pt idx="0">
                  <c:v>12.205934999999998</c:v>
                </c:pt>
                <c:pt idx="1">
                  <c:v>5.8416998399999995</c:v>
                </c:pt>
                <c:pt idx="2">
                  <c:v>5.5004481000000007</c:v>
                </c:pt>
              </c:numCache>
            </c:numRef>
          </c:val>
          <c:extLst xmlns:c16r2="http://schemas.microsoft.com/office/drawing/2015/06/chart">
            <c:ext xmlns:c16="http://schemas.microsoft.com/office/drawing/2014/chart" uri="{C3380CC4-5D6E-409C-BE32-E72D297353CC}">
              <c16:uniqueId val="{00000001-E124-455E-B00C-BDB19BBFD963}"/>
            </c:ext>
          </c:extLst>
        </c:ser>
        <c:ser>
          <c:idx val="2"/>
          <c:order val="2"/>
          <c:tx>
            <c:strRef>
              <c:f>Grafer!$B$645</c:f>
              <c:strCache>
                <c:ptCount val="1"/>
                <c:pt idx="0">
                  <c:v>Industri</c:v>
                </c:pt>
              </c:strCache>
            </c:strRef>
          </c:tx>
          <c:invertIfNegative val="0"/>
          <c:cat>
            <c:strRef>
              <c:f>Grafer!$C$642:$E$642</c:f>
              <c:strCache>
                <c:ptCount val="3"/>
                <c:pt idx="0">
                  <c:v>2018</c:v>
                </c:pt>
                <c:pt idx="1">
                  <c:v>BAU2030</c:v>
                </c:pt>
                <c:pt idx="2">
                  <c:v>BAU2050</c:v>
                </c:pt>
              </c:strCache>
            </c:strRef>
          </c:cat>
          <c:val>
            <c:numRef>
              <c:f>Grafer!$C$645:$E$645</c:f>
              <c:numCache>
                <c:formatCode>#,##0</c:formatCode>
                <c:ptCount val="3"/>
                <c:pt idx="0">
                  <c:v>44.493400000000001</c:v>
                </c:pt>
                <c:pt idx="1">
                  <c:v>44.493400000000001</c:v>
                </c:pt>
                <c:pt idx="2">
                  <c:v>44.493400000000001</c:v>
                </c:pt>
              </c:numCache>
            </c:numRef>
          </c:val>
          <c:extLst xmlns:c16r2="http://schemas.microsoft.com/office/drawing/2015/06/chart">
            <c:ext xmlns:c16="http://schemas.microsoft.com/office/drawing/2014/chart" uri="{C3380CC4-5D6E-409C-BE32-E72D297353CC}">
              <c16:uniqueId val="{00000002-E124-455E-B00C-BDB19BBFD963}"/>
            </c:ext>
          </c:extLst>
        </c:ser>
        <c:ser>
          <c:idx val="3"/>
          <c:order val="3"/>
          <c:tx>
            <c:strRef>
              <c:f>Grafer!$B$646</c:f>
              <c:strCache>
                <c:ptCount val="1"/>
                <c:pt idx="0">
                  <c:v>Transport</c:v>
                </c:pt>
              </c:strCache>
            </c:strRef>
          </c:tx>
          <c:invertIfNegative val="0"/>
          <c:cat>
            <c:strRef>
              <c:f>Grafer!$C$642:$E$642</c:f>
              <c:strCache>
                <c:ptCount val="3"/>
                <c:pt idx="0">
                  <c:v>2018</c:v>
                </c:pt>
                <c:pt idx="1">
                  <c:v>BAU2030</c:v>
                </c:pt>
                <c:pt idx="2">
                  <c:v>BAU2050</c:v>
                </c:pt>
              </c:strCache>
            </c:strRef>
          </c:cat>
          <c:val>
            <c:numRef>
              <c:f>Grafer!$C$646:$E$646</c:f>
              <c:numCache>
                <c:formatCode>#,##0</c:formatCode>
                <c:ptCount val="3"/>
                <c:pt idx="0">
                  <c:v>264.93598910000003</c:v>
                </c:pt>
                <c:pt idx="1">
                  <c:v>243.40470786900002</c:v>
                </c:pt>
                <c:pt idx="2">
                  <c:v>155.97907681999999</c:v>
                </c:pt>
              </c:numCache>
            </c:numRef>
          </c:val>
          <c:extLst xmlns:c16r2="http://schemas.microsoft.com/office/drawing/2015/06/chart">
            <c:ext xmlns:c16="http://schemas.microsoft.com/office/drawing/2014/chart" uri="{C3380CC4-5D6E-409C-BE32-E72D297353CC}">
              <c16:uniqueId val="{00000003-E124-455E-B00C-BDB19BBFD963}"/>
            </c:ext>
          </c:extLst>
        </c:ser>
        <c:ser>
          <c:idx val="4"/>
          <c:order val="4"/>
          <c:tx>
            <c:strRef>
              <c:f>Grafer!$B$647</c:f>
              <c:strCache>
                <c:ptCount val="1"/>
                <c:pt idx="0">
                  <c:v>Vindkraft mm.</c:v>
                </c:pt>
              </c:strCache>
            </c:strRef>
          </c:tx>
          <c:invertIfNegative val="0"/>
          <c:cat>
            <c:strRef>
              <c:f>Grafer!$C$642:$E$642</c:f>
              <c:strCache>
                <c:ptCount val="3"/>
                <c:pt idx="0">
                  <c:v>2018</c:v>
                </c:pt>
                <c:pt idx="1">
                  <c:v>BAU2030</c:v>
                </c:pt>
                <c:pt idx="2">
                  <c:v>BAU2050</c:v>
                </c:pt>
              </c:strCache>
            </c:strRef>
          </c:cat>
          <c:val>
            <c:numRef>
              <c:f>Grafer!$C$647:$E$647</c:f>
              <c:numCache>
                <c:formatCode>#,##0</c:formatCode>
                <c:ptCount val="3"/>
              </c:numCache>
            </c:numRef>
          </c:val>
          <c:extLst xmlns:c16r2="http://schemas.microsoft.com/office/drawing/2015/06/chart">
            <c:ext xmlns:c16="http://schemas.microsoft.com/office/drawing/2014/chart" uri="{C3380CC4-5D6E-409C-BE32-E72D297353CC}">
              <c16:uniqueId val="{00000004-E124-455E-B00C-BDB19BBFD963}"/>
            </c:ext>
          </c:extLst>
        </c:ser>
        <c:ser>
          <c:idx val="5"/>
          <c:order val="5"/>
          <c:tx>
            <c:strRef>
              <c:f>Grafer!$B$648</c:f>
              <c:strCache>
                <c:ptCount val="1"/>
                <c:pt idx="0">
                  <c:v>El-import</c:v>
                </c:pt>
              </c:strCache>
            </c:strRef>
          </c:tx>
          <c:invertIfNegative val="0"/>
          <c:cat>
            <c:strRef>
              <c:f>Grafer!$C$642:$E$642</c:f>
              <c:strCache>
                <c:ptCount val="3"/>
                <c:pt idx="0">
                  <c:v>2018</c:v>
                </c:pt>
                <c:pt idx="1">
                  <c:v>BAU2030</c:v>
                </c:pt>
                <c:pt idx="2">
                  <c:v>BAU2050</c:v>
                </c:pt>
              </c:strCache>
            </c:strRef>
          </c:cat>
          <c:val>
            <c:numRef>
              <c:f>Grafer!$C$648:$E$648</c:f>
              <c:numCache>
                <c:formatCode>#,##0</c:formatCode>
                <c:ptCount val="3"/>
                <c:pt idx="0">
                  <c:v>-16.253355625390768</c:v>
                </c:pt>
                <c:pt idx="1">
                  <c:v>0</c:v>
                </c:pt>
                <c:pt idx="2">
                  <c:v>0</c:v>
                </c:pt>
              </c:numCache>
            </c:numRef>
          </c:val>
          <c:extLst xmlns:c16r2="http://schemas.microsoft.com/office/drawing/2015/06/char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352398064"/>
        <c:axId val="352398456"/>
      </c:barChart>
      <c:catAx>
        <c:axId val="3523980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398456"/>
        <c:crosses val="autoZero"/>
        <c:auto val="1"/>
        <c:lblAlgn val="ctr"/>
        <c:lblOffset val="100"/>
        <c:noMultiLvlLbl val="0"/>
      </c:catAx>
      <c:valAx>
        <c:axId val="35239845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398064"/>
        <c:crosses val="autoZero"/>
        <c:crossBetween val="between"/>
      </c:valAx>
    </c:plotArea>
    <c:legend>
      <c:legendPos val="r"/>
      <c:legendEntry>
        <c:idx val="1"/>
        <c:delete val="1"/>
      </c:legendEntry>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71892305555555891"/>
          <c:h val="0.85396039603960394"/>
        </c:manualLayout>
      </c:layout>
      <c:barChart>
        <c:barDir val="col"/>
        <c:grouping val="stacked"/>
        <c:varyColors val="0"/>
        <c:ser>
          <c:idx val="0"/>
          <c:order val="0"/>
          <c:tx>
            <c:strRef>
              <c:f>Grafer!$B$450</c:f>
              <c:strCache>
                <c:ptCount val="1"/>
                <c:pt idx="0">
                  <c:v>Benzinbiler</c:v>
                </c:pt>
              </c:strCache>
            </c:strRef>
          </c:tx>
          <c:invertIfNegative val="0"/>
          <c:cat>
            <c:strRef>
              <c:f>Grafer!$C$449:$E$449</c:f>
              <c:strCache>
                <c:ptCount val="3"/>
                <c:pt idx="0">
                  <c:v>2018</c:v>
                </c:pt>
                <c:pt idx="1">
                  <c:v>BAU2030</c:v>
                </c:pt>
                <c:pt idx="2">
                  <c:v>BAU2050</c:v>
                </c:pt>
              </c:strCache>
            </c:strRef>
          </c:cat>
          <c:val>
            <c:numRef>
              <c:f>Grafer!$C$450:$E$450</c:f>
              <c:numCache>
                <c:formatCode>#,##0</c:formatCode>
                <c:ptCount val="3"/>
                <c:pt idx="0">
                  <c:v>1027.7</c:v>
                </c:pt>
                <c:pt idx="1">
                  <c:v>815.06887000000006</c:v>
                </c:pt>
                <c:pt idx="2">
                  <c:v>205.54</c:v>
                </c:pt>
              </c:numCache>
            </c:numRef>
          </c:val>
          <c:extLst xmlns:c16r2="http://schemas.microsoft.com/office/drawing/2015/06/chart">
            <c:ext xmlns:c16="http://schemas.microsoft.com/office/drawing/2014/chart" uri="{C3380CC4-5D6E-409C-BE32-E72D297353CC}">
              <c16:uniqueId val="{00000000-DA13-484A-92F8-4E6D421C3314}"/>
            </c:ext>
          </c:extLst>
        </c:ser>
        <c:ser>
          <c:idx val="1"/>
          <c:order val="1"/>
          <c:tx>
            <c:strRef>
              <c:f>Grafer!$B$451</c:f>
              <c:strCache>
                <c:ptCount val="1"/>
                <c:pt idx="0">
                  <c:v>Dieselbiler</c:v>
                </c:pt>
              </c:strCache>
            </c:strRef>
          </c:tx>
          <c:invertIfNegative val="0"/>
          <c:cat>
            <c:strRef>
              <c:f>Grafer!$C$449:$E$449</c:f>
              <c:strCache>
                <c:ptCount val="3"/>
                <c:pt idx="0">
                  <c:v>2018</c:v>
                </c:pt>
                <c:pt idx="1">
                  <c:v>BAU2030</c:v>
                </c:pt>
                <c:pt idx="2">
                  <c:v>BAU2050</c:v>
                </c:pt>
              </c:strCache>
            </c:strRef>
          </c:cat>
          <c:val>
            <c:numRef>
              <c:f>Grafer!$C$451:$E$451</c:f>
              <c:numCache>
                <c:formatCode>#,##0</c:formatCode>
                <c:ptCount val="3"/>
                <c:pt idx="0">
                  <c:v>813.10000000000014</c:v>
                </c:pt>
                <c:pt idx="1">
                  <c:v>723.65899999999999</c:v>
                </c:pt>
                <c:pt idx="2">
                  <c:v>162.62000000000003</c:v>
                </c:pt>
              </c:numCache>
            </c:numRef>
          </c:val>
          <c:extLst xmlns:c16r2="http://schemas.microsoft.com/office/drawing/2015/06/chart">
            <c:ext xmlns:c16="http://schemas.microsoft.com/office/drawing/2014/chart" uri="{C3380CC4-5D6E-409C-BE32-E72D297353CC}">
              <c16:uniqueId val="{00000001-DA13-484A-92F8-4E6D421C3314}"/>
            </c:ext>
          </c:extLst>
        </c:ser>
        <c:ser>
          <c:idx val="3"/>
          <c:order val="2"/>
          <c:tx>
            <c:strRef>
              <c:f>Grafer!$B$452</c:f>
              <c:strCache>
                <c:ptCount val="1"/>
                <c:pt idx="0">
                  <c:v>Varebiler</c:v>
                </c:pt>
              </c:strCache>
            </c:strRef>
          </c:tx>
          <c:invertIfNegative val="0"/>
          <c:cat>
            <c:strRef>
              <c:f>Grafer!$C$449:$E$449</c:f>
              <c:strCache>
                <c:ptCount val="3"/>
                <c:pt idx="0">
                  <c:v>2018</c:v>
                </c:pt>
                <c:pt idx="1">
                  <c:v>BAU2030</c:v>
                </c:pt>
                <c:pt idx="2">
                  <c:v>BAU2050</c:v>
                </c:pt>
              </c:strCache>
            </c:strRef>
          </c:cat>
          <c:val>
            <c:numRef>
              <c:f>Grafer!$C$452:$E$452</c:f>
              <c:numCache>
                <c:formatCode>#,##0</c:formatCode>
                <c:ptCount val="3"/>
                <c:pt idx="0">
                  <c:v>327</c:v>
                </c:pt>
                <c:pt idx="1">
                  <c:v>291.03000000000003</c:v>
                </c:pt>
                <c:pt idx="2">
                  <c:v>65.400000000000006</c:v>
                </c:pt>
              </c:numCache>
            </c:numRef>
          </c:val>
          <c:extLst xmlns:c16r2="http://schemas.microsoft.com/office/drawing/2015/06/chart">
            <c:ext xmlns:c16="http://schemas.microsoft.com/office/drawing/2014/chart" uri="{C3380CC4-5D6E-409C-BE32-E72D297353CC}">
              <c16:uniqueId val="{00000002-DA13-484A-92F8-4E6D421C3314}"/>
            </c:ext>
          </c:extLst>
        </c:ser>
        <c:ser>
          <c:idx val="2"/>
          <c:order val="3"/>
          <c:tx>
            <c:strRef>
              <c:f>Grafer!$B$453</c:f>
              <c:strCache>
                <c:ptCount val="1"/>
                <c:pt idx="0">
                  <c:v>Busser</c:v>
                </c:pt>
              </c:strCache>
            </c:strRef>
          </c:tx>
          <c:invertIfNegative val="0"/>
          <c:cat>
            <c:strRef>
              <c:f>Grafer!$C$449:$E$449</c:f>
              <c:strCache>
                <c:ptCount val="3"/>
                <c:pt idx="0">
                  <c:v>2018</c:v>
                </c:pt>
                <c:pt idx="1">
                  <c:v>BAU2030</c:v>
                </c:pt>
                <c:pt idx="2">
                  <c:v>BAU2050</c:v>
                </c:pt>
              </c:strCache>
            </c:strRef>
          </c:cat>
          <c:val>
            <c:numRef>
              <c:f>Grafer!$C$453:$E$453</c:f>
              <c:numCache>
                <c:formatCode>#,##0</c:formatCode>
                <c:ptCount val="3"/>
                <c:pt idx="0">
                  <c:v>112.7</c:v>
                </c:pt>
                <c:pt idx="1">
                  <c:v>119.46200000000002</c:v>
                </c:pt>
                <c:pt idx="2">
                  <c:v>135.24</c:v>
                </c:pt>
              </c:numCache>
            </c:numRef>
          </c:val>
          <c:extLst xmlns:c16r2="http://schemas.microsoft.com/office/drawing/2015/06/chart">
            <c:ext xmlns:c16="http://schemas.microsoft.com/office/drawing/2014/chart" uri="{C3380CC4-5D6E-409C-BE32-E72D297353CC}">
              <c16:uniqueId val="{00000003-DA13-484A-92F8-4E6D421C3314}"/>
            </c:ext>
          </c:extLst>
        </c:ser>
        <c:ser>
          <c:idx val="4"/>
          <c:order val="4"/>
          <c:tx>
            <c:strRef>
              <c:f>Grafer!$B$454</c:f>
              <c:strCache>
                <c:ptCount val="1"/>
                <c:pt idx="0">
                  <c:v>Lastbiler m.m.</c:v>
                </c:pt>
              </c:strCache>
            </c:strRef>
          </c:tx>
          <c:invertIfNegative val="0"/>
          <c:cat>
            <c:strRef>
              <c:f>Grafer!$C$449:$E$449</c:f>
              <c:strCache>
                <c:ptCount val="3"/>
                <c:pt idx="0">
                  <c:v>2018</c:v>
                </c:pt>
                <c:pt idx="1">
                  <c:v>BAU2030</c:v>
                </c:pt>
                <c:pt idx="2">
                  <c:v>BAU2050</c:v>
                </c:pt>
              </c:strCache>
            </c:strRef>
          </c:cat>
          <c:val>
            <c:numRef>
              <c:f>Grafer!$C$454:$E$454</c:f>
              <c:numCache>
                <c:formatCode>#,##0</c:formatCode>
                <c:ptCount val="3"/>
                <c:pt idx="0">
                  <c:v>280.3</c:v>
                </c:pt>
                <c:pt idx="1">
                  <c:v>295.99119400000006</c:v>
                </c:pt>
                <c:pt idx="2">
                  <c:v>336.36</c:v>
                </c:pt>
              </c:numCache>
            </c:numRef>
          </c:val>
          <c:extLst xmlns:c16r2="http://schemas.microsoft.com/office/drawing/2015/06/chart">
            <c:ext xmlns:c16="http://schemas.microsoft.com/office/drawing/2014/chart" uri="{C3380CC4-5D6E-409C-BE32-E72D297353CC}">
              <c16:uniqueId val="{00000004-DA13-484A-92F8-4E6D421C3314}"/>
            </c:ext>
          </c:extLst>
        </c:ser>
        <c:ser>
          <c:idx val="5"/>
          <c:order val="5"/>
          <c:tx>
            <c:strRef>
              <c:f>Grafer!$B$455</c:f>
              <c:strCache>
                <c:ptCount val="1"/>
                <c:pt idx="0">
                  <c:v>Traktorer</c:v>
                </c:pt>
              </c:strCache>
            </c:strRef>
          </c:tx>
          <c:invertIfNegative val="0"/>
          <c:cat>
            <c:strRef>
              <c:f>Grafer!$C$449:$E$449</c:f>
              <c:strCache>
                <c:ptCount val="3"/>
                <c:pt idx="0">
                  <c:v>2018</c:v>
                </c:pt>
                <c:pt idx="1">
                  <c:v>BAU2030</c:v>
                </c:pt>
                <c:pt idx="2">
                  <c:v>BAU2050</c:v>
                </c:pt>
              </c:strCache>
            </c:strRef>
          </c:cat>
          <c:val>
            <c:numRef>
              <c:f>Grafer!$C$455:$E$455</c:f>
              <c:numCache>
                <c:formatCode>#,##0</c:formatCode>
                <c:ptCount val="3"/>
                <c:pt idx="0">
                  <c:v>266.8</c:v>
                </c:pt>
                <c:pt idx="1">
                  <c:v>266.8</c:v>
                </c:pt>
                <c:pt idx="2">
                  <c:v>266.8</c:v>
                </c:pt>
              </c:numCache>
            </c:numRef>
          </c:val>
          <c:extLst xmlns:c16r2="http://schemas.microsoft.com/office/drawing/2015/06/chart">
            <c:ext xmlns:c16="http://schemas.microsoft.com/office/drawing/2014/chart" uri="{C3380CC4-5D6E-409C-BE32-E72D297353CC}">
              <c16:uniqueId val="{00000005-DA13-484A-92F8-4E6D421C3314}"/>
            </c:ext>
          </c:extLst>
        </c:ser>
        <c:ser>
          <c:idx val="6"/>
          <c:order val="6"/>
          <c:tx>
            <c:strRef>
              <c:f>Grafer!$B$456</c:f>
              <c:strCache>
                <c:ptCount val="1"/>
                <c:pt idx="0">
                  <c:v>Tog</c:v>
                </c:pt>
              </c:strCache>
            </c:strRef>
          </c:tx>
          <c:invertIfNegative val="0"/>
          <c:cat>
            <c:strRef>
              <c:f>Grafer!$C$449:$E$449</c:f>
              <c:strCache>
                <c:ptCount val="3"/>
                <c:pt idx="0">
                  <c:v>2018</c:v>
                </c:pt>
                <c:pt idx="1">
                  <c:v>BAU2030</c:v>
                </c:pt>
                <c:pt idx="2">
                  <c:v>BAU2050</c:v>
                </c:pt>
              </c:strCache>
            </c:strRef>
          </c:cat>
          <c:val>
            <c:numRef>
              <c:f>Grafer!$C$456:$E$456</c:f>
              <c:numCache>
                <c:formatCode>#,##0</c:formatCode>
                <c:ptCount val="3"/>
                <c:pt idx="0">
                  <c:v>51.5</c:v>
                </c:pt>
                <c:pt idx="1">
                  <c:v>15.45</c:v>
                </c:pt>
                <c:pt idx="2">
                  <c:v>0</c:v>
                </c:pt>
              </c:numCache>
            </c:numRef>
          </c:val>
          <c:extLst xmlns:c16r2="http://schemas.microsoft.com/office/drawing/2015/06/chart">
            <c:ext xmlns:c16="http://schemas.microsoft.com/office/drawing/2014/chart" uri="{C3380CC4-5D6E-409C-BE32-E72D297353CC}">
              <c16:uniqueId val="{00000006-DA13-484A-92F8-4E6D421C3314}"/>
            </c:ext>
          </c:extLst>
        </c:ser>
        <c:ser>
          <c:idx val="7"/>
          <c:order val="7"/>
          <c:tx>
            <c:strRef>
              <c:f>Grafer!$B$457</c:f>
              <c:strCache>
                <c:ptCount val="1"/>
                <c:pt idx="0">
                  <c:v>Fly</c:v>
                </c:pt>
              </c:strCache>
            </c:strRef>
          </c:tx>
          <c:invertIfNegative val="0"/>
          <c:cat>
            <c:strRef>
              <c:f>Grafer!$C$449:$E$449</c:f>
              <c:strCache>
                <c:ptCount val="3"/>
                <c:pt idx="0">
                  <c:v>2018</c:v>
                </c:pt>
                <c:pt idx="1">
                  <c:v>BAU2030</c:v>
                </c:pt>
                <c:pt idx="2">
                  <c:v>BAU2050</c:v>
                </c:pt>
              </c:strCache>
            </c:strRef>
          </c:cat>
          <c:val>
            <c:numRef>
              <c:f>Grafer!$C$457:$E$457</c:f>
              <c:numCache>
                <c:formatCode>#,##0</c:formatCode>
                <c:ptCount val="3"/>
                <c:pt idx="0">
                  <c:v>761</c:v>
                </c:pt>
                <c:pt idx="1">
                  <c:v>814.2700000000001</c:v>
                </c:pt>
                <c:pt idx="2">
                  <c:v>913.2</c:v>
                </c:pt>
              </c:numCache>
            </c:numRef>
          </c:val>
          <c:extLst xmlns:c16r2="http://schemas.microsoft.com/office/drawing/2015/06/chart">
            <c:ext xmlns:c16="http://schemas.microsoft.com/office/drawing/2014/chart" uri="{C3380CC4-5D6E-409C-BE32-E72D297353CC}">
              <c16:uniqueId val="{00000007-DA13-484A-92F8-4E6D421C3314}"/>
            </c:ext>
          </c:extLst>
        </c:ser>
        <c:ser>
          <c:idx val="8"/>
          <c:order val="8"/>
          <c:tx>
            <c:strRef>
              <c:f>Grafer!$B$458</c:f>
              <c:strCache>
                <c:ptCount val="1"/>
                <c:pt idx="0">
                  <c:v>Skibe</c:v>
                </c:pt>
              </c:strCache>
            </c:strRef>
          </c:tx>
          <c:invertIfNegative val="0"/>
          <c:cat>
            <c:strRef>
              <c:f>Grafer!$C$449:$E$449</c:f>
              <c:strCache>
                <c:ptCount val="3"/>
                <c:pt idx="0">
                  <c:v>2018</c:v>
                </c:pt>
                <c:pt idx="1">
                  <c:v>BAU2030</c:v>
                </c:pt>
                <c:pt idx="2">
                  <c:v>BAU2050</c:v>
                </c:pt>
              </c:strCache>
            </c:strRef>
          </c:cat>
          <c:val>
            <c:numRef>
              <c:f>Grafer!$C$458:$E$458</c:f>
              <c:numCache>
                <c:formatCode>#,##0</c:formatCode>
                <c:ptCount val="3"/>
                <c:pt idx="0">
                  <c:v>108.69999999999999</c:v>
                </c:pt>
                <c:pt idx="1">
                  <c:v>103.26499999999999</c:v>
                </c:pt>
                <c:pt idx="2">
                  <c:v>103.26499999999999</c:v>
                </c:pt>
              </c:numCache>
            </c:numRef>
          </c:val>
          <c:extLst xmlns:c16r2="http://schemas.microsoft.com/office/drawing/2015/06/chart">
            <c:ext xmlns:c16="http://schemas.microsoft.com/office/drawing/2014/chart" uri="{C3380CC4-5D6E-409C-BE32-E72D297353CC}">
              <c16:uniqueId val="{00000008-DA13-484A-92F8-4E6D421C3314}"/>
            </c:ext>
          </c:extLst>
        </c:ser>
        <c:dLbls>
          <c:showLegendKey val="0"/>
          <c:showVal val="0"/>
          <c:showCatName val="0"/>
          <c:showSerName val="0"/>
          <c:showPercent val="0"/>
          <c:showBubbleSize val="0"/>
        </c:dLbls>
        <c:gapWidth val="150"/>
        <c:overlap val="100"/>
        <c:axId val="352400024"/>
        <c:axId val="352399240"/>
      </c:barChart>
      <c:catAx>
        <c:axId val="352400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399240"/>
        <c:crosses val="autoZero"/>
        <c:auto val="1"/>
        <c:lblAlgn val="ctr"/>
        <c:lblOffset val="100"/>
        <c:noMultiLvlLbl val="0"/>
      </c:catAx>
      <c:valAx>
        <c:axId val="35239924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400024"/>
        <c:crosses val="autoZero"/>
        <c:crossBetween val="between"/>
      </c:valAx>
    </c:plotArea>
    <c:legend>
      <c:legendPos val="r"/>
      <c:layout>
        <c:manualLayout>
          <c:xMode val="edge"/>
          <c:yMode val="edge"/>
          <c:x val="0.84950138888888893"/>
          <c:y val="0.21836563898338901"/>
          <c:w val="0.13991527777777873"/>
          <c:h val="0.56326872203322198"/>
        </c:manualLayout>
      </c:layout>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Grafer!$C$60:$E$60</c:f>
              <c:strCache>
                <c:ptCount val="3"/>
                <c:pt idx="0">
                  <c:v>2018</c:v>
                </c:pt>
                <c:pt idx="1">
                  <c:v>BAU2030</c:v>
                </c:pt>
                <c:pt idx="2">
                  <c:v>BAU2050</c:v>
                </c:pt>
              </c:strCache>
            </c:strRef>
          </c:cat>
          <c:val>
            <c:numRef>
              <c:f>Grafer!$C$61:$E$61</c:f>
              <c:numCache>
                <c:formatCode>_(* #,##0.0_);_(* \(#,##0.0\);_(* "-"??_);_(@_)</c:formatCode>
                <c:ptCount val="3"/>
                <c:pt idx="0">
                  <c:v>49.24766476933678</c:v>
                </c:pt>
                <c:pt idx="1">
                  <c:v>58.857359008438458</c:v>
                </c:pt>
                <c:pt idx="2">
                  <c:v>63.145192945955166</c:v>
                </c:pt>
              </c:numCache>
            </c:numRef>
          </c:val>
          <c:extLst xmlns:c16r2="http://schemas.microsoft.com/office/drawing/2015/06/char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50"/>
        <c:overlap val="100"/>
        <c:axId val="352400416"/>
        <c:axId val="459664392"/>
      </c:barChart>
      <c:catAx>
        <c:axId val="3524004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59664392"/>
        <c:crosses val="autoZero"/>
        <c:auto val="1"/>
        <c:lblAlgn val="ctr"/>
        <c:lblOffset val="100"/>
        <c:noMultiLvlLbl val="0"/>
      </c:catAx>
      <c:valAx>
        <c:axId val="45966439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400416"/>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Grafer!$B$860</c:f>
              <c:strCache>
                <c:ptCount val="1"/>
                <c:pt idx="0">
                  <c:v>Kul</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Grafer!$C$860:$K$860</c:f>
              <c:numCache>
                <c:formatCode>#,##0</c:formatCode>
                <c:ptCount val="9"/>
                <c:pt idx="5">
                  <c:v>0</c:v>
                </c:pt>
              </c:numCache>
            </c:numRef>
          </c:val>
          <c:extLst xmlns:c16r2="http://schemas.microsoft.com/office/drawing/2015/06/chart">
            <c:ext xmlns:c16="http://schemas.microsoft.com/office/drawing/2014/chart" uri="{C3380CC4-5D6E-409C-BE32-E72D297353CC}">
              <c16:uniqueId val="{00000000-47E4-488B-BB2A-D374AA27ED9B}"/>
            </c:ext>
          </c:extLst>
        </c:ser>
        <c:ser>
          <c:idx val="3"/>
          <c:order val="1"/>
          <c:tx>
            <c:strRef>
              <c:f>Grafer!$B$861</c:f>
              <c:strCache>
                <c:ptCount val="1"/>
                <c:pt idx="0">
                  <c:v>Naturgas og LPG</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Grafer!$C$861:$K$861</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47E4-488B-BB2A-D374AA27ED9B}"/>
            </c:ext>
          </c:extLst>
        </c:ser>
        <c:ser>
          <c:idx val="4"/>
          <c:order val="2"/>
          <c:tx>
            <c:strRef>
              <c:f>Grafer!$B$862</c:f>
              <c:strCache>
                <c:ptCount val="1"/>
                <c:pt idx="0">
                  <c:v>Fuelolie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Grafer!$C$862:$K$862</c:f>
              <c:numCache>
                <c:formatCode>#,##0</c:formatCode>
                <c:ptCount val="9"/>
                <c:pt idx="5">
                  <c:v>0</c:v>
                </c:pt>
                <c:pt idx="8">
                  <c:v>0</c:v>
                </c:pt>
              </c:numCache>
            </c:numRef>
          </c:val>
          <c:extLst xmlns:c16r2="http://schemas.microsoft.com/office/drawing/2015/06/chart">
            <c:ext xmlns:c16="http://schemas.microsoft.com/office/drawing/2014/chart" uri="{C3380CC4-5D6E-409C-BE32-E72D297353CC}">
              <c16:uniqueId val="{00000002-47E4-488B-BB2A-D374AA27ED9B}"/>
            </c:ext>
          </c:extLst>
        </c:ser>
        <c:ser>
          <c:idx val="5"/>
          <c:order val="3"/>
          <c:tx>
            <c:strRef>
              <c:f>Grafer!$B$863</c:f>
              <c:strCache>
                <c:ptCount val="1"/>
                <c:pt idx="0">
                  <c:v>Brændselsolie/diesel</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Grafer!$C$863:$K$863</c:f>
              <c:numCache>
                <c:formatCode>#,##0</c:formatCode>
                <c:ptCount val="9"/>
                <c:pt idx="0">
                  <c:v>0</c:v>
                </c:pt>
                <c:pt idx="5">
                  <c:v>0</c:v>
                </c:pt>
                <c:pt idx="7">
                  <c:v>0</c:v>
                </c:pt>
                <c:pt idx="8">
                  <c:v>0</c:v>
                </c:pt>
              </c:numCache>
            </c:numRef>
          </c:val>
          <c:extLst xmlns:c16r2="http://schemas.microsoft.com/office/drawing/2015/06/chart">
            <c:ext xmlns:c16="http://schemas.microsoft.com/office/drawing/2014/chart" uri="{C3380CC4-5D6E-409C-BE32-E72D297353CC}">
              <c16:uniqueId val="{00000003-47E4-488B-BB2A-D374AA27ED9B}"/>
            </c:ext>
          </c:extLst>
        </c:ser>
        <c:ser>
          <c:idx val="6"/>
          <c:order val="4"/>
          <c:tx>
            <c:strRef>
              <c:f>Grafer!$B$864</c:f>
              <c:strCache>
                <c:ptCount val="1"/>
                <c:pt idx="0">
                  <c:v>Benzin</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Grafer!$C$864:$K$864</c:f>
              <c:numCache>
                <c:formatCode>#,##0</c:formatCode>
                <c:ptCount val="9"/>
                <c:pt idx="5">
                  <c:v>0</c:v>
                </c:pt>
                <c:pt idx="8">
                  <c:v>0</c:v>
                </c:pt>
              </c:numCache>
            </c:numRef>
          </c:val>
          <c:extLst xmlns:c16r2="http://schemas.microsoft.com/office/drawing/2015/06/chart">
            <c:ext xmlns:c16="http://schemas.microsoft.com/office/drawing/2014/chart" uri="{C3380CC4-5D6E-409C-BE32-E72D297353CC}">
              <c16:uniqueId val="{00000004-47E4-488B-BB2A-D374AA27ED9B}"/>
            </c:ext>
          </c:extLst>
        </c:ser>
        <c:ser>
          <c:idx val="8"/>
          <c:order val="5"/>
          <c:tx>
            <c:strRef>
              <c:f>Grafer!$B$867</c:f>
              <c:strCache>
                <c:ptCount val="1"/>
                <c:pt idx="0">
                  <c:v>Biobrændstof</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Grafer!$C$867:$K$867</c:f>
              <c:numCache>
                <c:formatCode>#,##0</c:formatCode>
                <c:ptCount val="9"/>
                <c:pt idx="7">
                  <c:v>0</c:v>
                </c:pt>
                <c:pt idx="8">
                  <c:v>0</c:v>
                </c:pt>
              </c:numCache>
            </c:numRef>
          </c:val>
          <c:extLst xmlns:c16r2="http://schemas.microsoft.com/office/drawing/2015/06/chart">
            <c:ext xmlns:c16="http://schemas.microsoft.com/office/drawing/2014/chart" uri="{C3380CC4-5D6E-409C-BE32-E72D297353CC}">
              <c16:uniqueId val="{00000005-47E4-488B-BB2A-D374AA27ED9B}"/>
            </c:ext>
          </c:extLst>
        </c:ser>
        <c:ser>
          <c:idx val="7"/>
          <c:order val="6"/>
          <c:tx>
            <c:strRef>
              <c:f>Grafer!$B$866</c:f>
              <c:strCache>
                <c:ptCount val="1"/>
                <c:pt idx="0">
                  <c:v>Affald, ikke bionedbrydeligt</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Grafer!$C$866:$K$866</c:f>
              <c:numCache>
                <c:formatCode>#,##0</c:formatCode>
                <c:ptCount val="9"/>
                <c:pt idx="5">
                  <c:v>0</c:v>
                </c:pt>
              </c:numCache>
            </c:numRef>
          </c:val>
          <c:extLst xmlns:c16r2="http://schemas.microsoft.com/office/drawing/2015/06/chart">
            <c:ext xmlns:c16="http://schemas.microsoft.com/office/drawing/2014/chart" uri="{C3380CC4-5D6E-409C-BE32-E72D297353CC}">
              <c16:uniqueId val="{00000006-47E4-488B-BB2A-D374AA27ED9B}"/>
            </c:ext>
          </c:extLst>
        </c:ser>
        <c:ser>
          <c:idx val="9"/>
          <c:order val="7"/>
          <c:tx>
            <c:strRef>
              <c:f>Grafer!$B$868</c:f>
              <c:strCache>
                <c:ptCount val="1"/>
                <c:pt idx="0">
                  <c:v>Biomasse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Grafer!$C$868:$K$868</c:f>
              <c:numCache>
                <c:formatCode>#,##0</c:formatCode>
                <c:ptCount val="9"/>
                <c:pt idx="0">
                  <c:v>0</c:v>
                </c:pt>
                <c:pt idx="5">
                  <c:v>0</c:v>
                </c:pt>
              </c:numCache>
            </c:numRef>
          </c:val>
          <c:extLst xmlns:c16r2="http://schemas.microsoft.com/office/drawing/2015/06/chart">
            <c:ext xmlns:c16="http://schemas.microsoft.com/office/drawing/2014/chart" uri="{C3380CC4-5D6E-409C-BE32-E72D297353CC}">
              <c16:uniqueId val="{00000007-47E4-488B-BB2A-D374AA27ED9B}"/>
            </c:ext>
          </c:extLst>
        </c:ser>
        <c:ser>
          <c:idx val="13"/>
          <c:order val="8"/>
          <c:tx>
            <c:strRef>
              <c:f>Grafer!$B$870</c:f>
              <c:strCache>
                <c:ptCount val="1"/>
                <c:pt idx="0">
                  <c:v>Procesvarme fra KV-produktion</c:v>
                </c:pt>
              </c:strCache>
            </c:strRef>
          </c:tx>
          <c:spPr>
            <a:solidFill>
              <a:schemeClr val="accent5">
                <a:lumMod val="40000"/>
                <a:lumOff val="60000"/>
              </a:schemeClr>
            </a:solidFill>
          </c:spPr>
          <c:invertIfNegative val="0"/>
          <c:val>
            <c:numRef>
              <c:f>Grafer!$C$870:$K$870</c:f>
              <c:numCache>
                <c:formatCode>#,##0</c:formatCode>
                <c:ptCount val="9"/>
                <c:pt idx="5">
                  <c:v>0</c:v>
                </c:pt>
              </c:numCache>
            </c:numRef>
          </c:val>
          <c:extLst xmlns:c16r2="http://schemas.microsoft.com/office/drawing/2015/06/chart">
            <c:ext xmlns:c16="http://schemas.microsoft.com/office/drawing/2014/chart" uri="{C3380CC4-5D6E-409C-BE32-E72D297353CC}">
              <c16:uniqueId val="{00000008-47E4-488B-BB2A-D374AA27ED9B}"/>
            </c:ext>
          </c:extLst>
        </c:ser>
        <c:ser>
          <c:idx val="10"/>
          <c:order val="9"/>
          <c:tx>
            <c:strRef>
              <c:f>Grafer!$B$869</c:f>
              <c:strCache>
                <c:ptCount val="1"/>
                <c:pt idx="0">
                  <c:v>Fjernvarme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Grafer!$C$869:$K$869</c:f>
              <c:numCache>
                <c:formatCode>#,##0</c:formatCode>
                <c:ptCount val="9"/>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9-47E4-488B-BB2A-D374AA27ED9B}"/>
            </c:ext>
          </c:extLst>
        </c:ser>
        <c:ser>
          <c:idx val="11"/>
          <c:order val="10"/>
          <c:tx>
            <c:strRef>
              <c:f>Grafer!$B$871</c:f>
              <c:strCache>
                <c:ptCount val="1"/>
                <c:pt idx="0">
                  <c:v>Biogas</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Grafer!$C$871:$K$871</c:f>
              <c:numCache>
                <c:formatCode>#,##0</c:formatCode>
                <c:ptCount val="9"/>
                <c:pt idx="5">
                  <c:v>0</c:v>
                </c:pt>
              </c:numCache>
            </c:numRef>
          </c:val>
          <c:extLst xmlns:c16r2="http://schemas.microsoft.com/office/drawing/2015/06/chart">
            <c:ext xmlns:c16="http://schemas.microsoft.com/office/drawing/2014/chart" uri="{C3380CC4-5D6E-409C-BE32-E72D297353CC}">
              <c16:uniqueId val="{0000000A-47E4-488B-BB2A-D374AA27ED9B}"/>
            </c:ext>
          </c:extLst>
        </c:ser>
        <c:ser>
          <c:idx val="12"/>
          <c:order val="11"/>
          <c:tx>
            <c:strRef>
              <c:f>Grafer!$B$872</c:f>
              <c:strCache>
                <c:ptCount val="1"/>
                <c:pt idx="0">
                  <c:v>Solenergi og jordvarme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Grafer!$C$872:$K$872</c:f>
              <c:numCache>
                <c:formatCode>#,##0</c:formatCode>
                <c:ptCount val="9"/>
                <c:pt idx="0">
                  <c:v>0</c:v>
                </c:pt>
              </c:numCache>
            </c:numRef>
          </c:val>
          <c:extLst xmlns:c16r2="http://schemas.microsoft.com/office/drawing/2015/06/chart">
            <c:ext xmlns:c16="http://schemas.microsoft.com/office/drawing/2014/chart" uri="{C3380CC4-5D6E-409C-BE32-E72D297353CC}">
              <c16:uniqueId val="{0000000B-47E4-488B-BB2A-D374AA27ED9B}"/>
            </c:ext>
          </c:extLst>
        </c:ser>
        <c:ser>
          <c:idx val="1"/>
          <c:order val="12"/>
          <c:tx>
            <c:strRef>
              <c:f>Grafer!$B$859</c:f>
              <c:strCache>
                <c:ptCount val="1"/>
                <c:pt idx="0">
                  <c:v>El</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Grafer!$C$859:$K$859</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C-47E4-488B-BB2A-D374AA27ED9B}"/>
            </c:ext>
          </c:extLst>
        </c:ser>
        <c:ser>
          <c:idx val="0"/>
          <c:order val="13"/>
          <c:tx>
            <c:strRef>
              <c:f>Grafer!$B$865</c:f>
              <c:strCache>
                <c:ptCount val="1"/>
                <c:pt idx="0">
                  <c:v>JP1</c:v>
                </c:pt>
              </c:strCache>
            </c:strRef>
          </c:tx>
          <c:invertIfNegative val="0"/>
          <c:val>
            <c:numRef>
              <c:f>Grafer!$C$865:$K$865</c:f>
              <c:numCache>
                <c:formatCode>#,##0</c:formatCode>
                <c:ptCount val="9"/>
                <c:pt idx="8">
                  <c:v>0</c:v>
                </c:pt>
              </c:numCache>
            </c:numRef>
          </c:val>
          <c:extLst xmlns:c16r2="http://schemas.microsoft.com/office/drawing/2015/06/char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459665568"/>
        <c:axId val="459662432"/>
      </c:barChart>
      <c:catAx>
        <c:axId val="459665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da-DK"/>
          </a:p>
        </c:txPr>
        <c:crossAx val="459662432"/>
        <c:crosses val="autoZero"/>
        <c:auto val="1"/>
        <c:lblAlgn val="ctr"/>
        <c:lblOffset val="100"/>
        <c:noMultiLvlLbl val="0"/>
      </c:catAx>
      <c:valAx>
        <c:axId val="45966243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5966556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33"/>
          <c:y val="3.465346534653465E-2"/>
          <c:w val="0.64637145566444876"/>
          <c:h val="0.62314469696970176"/>
        </c:manualLayout>
      </c:layout>
      <c:barChart>
        <c:barDir val="col"/>
        <c:grouping val="stacked"/>
        <c:varyColors val="0"/>
        <c:ser>
          <c:idx val="2"/>
          <c:order val="0"/>
          <c:tx>
            <c:strRef>
              <c:f>Grafer!$B$733</c:f>
              <c:strCache>
                <c:ptCount val="1"/>
                <c:pt idx="0">
                  <c:v>Kul</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Grafer!$C$733:$K$733</c:f>
              <c:numCache>
                <c:formatCode>#,##0</c:formatCode>
                <c:ptCount val="9"/>
                <c:pt idx="5">
                  <c:v>0</c:v>
                </c:pt>
              </c:numCache>
            </c:numRef>
          </c:val>
          <c:extLst xmlns:c16r2="http://schemas.microsoft.com/office/drawing/2015/06/chart">
            <c:ext xmlns:c16="http://schemas.microsoft.com/office/drawing/2014/chart" uri="{C3380CC4-5D6E-409C-BE32-E72D297353CC}">
              <c16:uniqueId val="{00000000-BF7A-4F93-8278-74C594665313}"/>
            </c:ext>
          </c:extLst>
        </c:ser>
        <c:ser>
          <c:idx val="3"/>
          <c:order val="1"/>
          <c:tx>
            <c:strRef>
              <c:f>Grafer!$B$734</c:f>
              <c:strCache>
                <c:ptCount val="1"/>
                <c:pt idx="0">
                  <c:v>Naturgas og LPG</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Grafer!$C$734:$K$734</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BF7A-4F93-8278-74C594665313}"/>
            </c:ext>
          </c:extLst>
        </c:ser>
        <c:ser>
          <c:idx val="4"/>
          <c:order val="2"/>
          <c:tx>
            <c:strRef>
              <c:f>Grafer!$B$735</c:f>
              <c:strCache>
                <c:ptCount val="1"/>
                <c:pt idx="0">
                  <c:v>Fuelolie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Grafer!$C$735:$K$735</c:f>
              <c:numCache>
                <c:formatCode>#,##0</c:formatCode>
                <c:ptCount val="9"/>
                <c:pt idx="5">
                  <c:v>0</c:v>
                </c:pt>
                <c:pt idx="8">
                  <c:v>0</c:v>
                </c:pt>
              </c:numCache>
            </c:numRef>
          </c:val>
          <c:extLst xmlns:c16r2="http://schemas.microsoft.com/office/drawing/2015/06/chart">
            <c:ext xmlns:c16="http://schemas.microsoft.com/office/drawing/2014/chart" uri="{C3380CC4-5D6E-409C-BE32-E72D297353CC}">
              <c16:uniqueId val="{00000002-BF7A-4F93-8278-74C594665313}"/>
            </c:ext>
          </c:extLst>
        </c:ser>
        <c:ser>
          <c:idx val="5"/>
          <c:order val="3"/>
          <c:tx>
            <c:strRef>
              <c:f>Grafer!$B$736</c:f>
              <c:strCache>
                <c:ptCount val="1"/>
                <c:pt idx="0">
                  <c:v>Brændselsolie/diesel</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Grafer!$C$736:$K$736</c:f>
              <c:numCache>
                <c:formatCode>#,##0</c:formatCode>
                <c:ptCount val="9"/>
                <c:pt idx="0">
                  <c:v>0</c:v>
                </c:pt>
                <c:pt idx="5">
                  <c:v>0</c:v>
                </c:pt>
                <c:pt idx="7">
                  <c:v>0</c:v>
                </c:pt>
                <c:pt idx="8">
                  <c:v>0</c:v>
                </c:pt>
              </c:numCache>
            </c:numRef>
          </c:val>
          <c:extLst xmlns:c16r2="http://schemas.microsoft.com/office/drawing/2015/06/chart">
            <c:ext xmlns:c16="http://schemas.microsoft.com/office/drawing/2014/chart" uri="{C3380CC4-5D6E-409C-BE32-E72D297353CC}">
              <c16:uniqueId val="{00000003-BF7A-4F93-8278-74C594665313}"/>
            </c:ext>
          </c:extLst>
        </c:ser>
        <c:ser>
          <c:idx val="6"/>
          <c:order val="4"/>
          <c:tx>
            <c:strRef>
              <c:f>Grafer!$B$737</c:f>
              <c:strCache>
                <c:ptCount val="1"/>
                <c:pt idx="0">
                  <c:v>Benzin</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Grafer!$C$737:$K$737</c:f>
              <c:numCache>
                <c:formatCode>#,##0</c:formatCode>
                <c:ptCount val="9"/>
                <c:pt idx="5">
                  <c:v>0</c:v>
                </c:pt>
                <c:pt idx="8">
                  <c:v>0</c:v>
                </c:pt>
              </c:numCache>
            </c:numRef>
          </c:val>
          <c:extLst xmlns:c16r2="http://schemas.microsoft.com/office/drawing/2015/06/chart">
            <c:ext xmlns:c16="http://schemas.microsoft.com/office/drawing/2014/chart" uri="{C3380CC4-5D6E-409C-BE32-E72D297353CC}">
              <c16:uniqueId val="{00000004-BF7A-4F93-8278-74C594665313}"/>
            </c:ext>
          </c:extLst>
        </c:ser>
        <c:ser>
          <c:idx val="0"/>
          <c:order val="5"/>
          <c:tx>
            <c:strRef>
              <c:f>Grafer!$B$738</c:f>
              <c:strCache>
                <c:ptCount val="1"/>
                <c:pt idx="0">
                  <c:v>JP1</c:v>
                </c:pt>
              </c:strCache>
            </c:strRef>
          </c:tx>
          <c:invertIfNegative val="0"/>
          <c:val>
            <c:numRef>
              <c:f>Grafer!$C$738:$K$738</c:f>
              <c:numCache>
                <c:formatCode>#,##0</c:formatCode>
                <c:ptCount val="9"/>
                <c:pt idx="8">
                  <c:v>0</c:v>
                </c:pt>
              </c:numCache>
            </c:numRef>
          </c:val>
          <c:extLst xmlns:c16r2="http://schemas.microsoft.com/office/drawing/2015/06/chart">
            <c:ext xmlns:c16="http://schemas.microsoft.com/office/drawing/2014/chart" uri="{C3380CC4-5D6E-409C-BE32-E72D297353CC}">
              <c16:uniqueId val="{00000005-BF7A-4F93-8278-74C594665313}"/>
            </c:ext>
          </c:extLst>
        </c:ser>
        <c:ser>
          <c:idx val="8"/>
          <c:order val="6"/>
          <c:tx>
            <c:strRef>
              <c:f>Grafer!$B$740</c:f>
              <c:strCache>
                <c:ptCount val="1"/>
                <c:pt idx="0">
                  <c:v>Biobrændstof</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Grafer!$C$740:$K$740</c:f>
              <c:numCache>
                <c:formatCode>#,##0</c:formatCode>
                <c:ptCount val="9"/>
                <c:pt idx="7">
                  <c:v>0</c:v>
                </c:pt>
                <c:pt idx="8">
                  <c:v>0</c:v>
                </c:pt>
              </c:numCache>
            </c:numRef>
          </c:val>
          <c:extLst xmlns:c16r2="http://schemas.microsoft.com/office/drawing/2015/06/chart">
            <c:ext xmlns:c16="http://schemas.microsoft.com/office/drawing/2014/chart" uri="{C3380CC4-5D6E-409C-BE32-E72D297353CC}">
              <c16:uniqueId val="{00000006-BF7A-4F93-8278-74C594665313}"/>
            </c:ext>
          </c:extLst>
        </c:ser>
        <c:ser>
          <c:idx val="7"/>
          <c:order val="7"/>
          <c:tx>
            <c:strRef>
              <c:f>Grafer!$B$739</c:f>
              <c:strCache>
                <c:ptCount val="1"/>
                <c:pt idx="0">
                  <c:v>Affald, ikke bionedbrydeligt</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Grafer!$C$739:$K$739</c:f>
              <c:numCache>
                <c:formatCode>#,##0</c:formatCode>
                <c:ptCount val="9"/>
                <c:pt idx="5">
                  <c:v>0</c:v>
                </c:pt>
              </c:numCache>
            </c:numRef>
          </c:val>
          <c:extLst xmlns:c16r2="http://schemas.microsoft.com/office/drawing/2015/06/chart">
            <c:ext xmlns:c16="http://schemas.microsoft.com/office/drawing/2014/chart" uri="{C3380CC4-5D6E-409C-BE32-E72D297353CC}">
              <c16:uniqueId val="{00000007-BF7A-4F93-8278-74C594665313}"/>
            </c:ext>
          </c:extLst>
        </c:ser>
        <c:ser>
          <c:idx val="9"/>
          <c:order val="8"/>
          <c:tx>
            <c:strRef>
              <c:f>Grafer!$B$741</c:f>
              <c:strCache>
                <c:ptCount val="1"/>
                <c:pt idx="0">
                  <c:v>Biomasse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Grafer!$C$741:$K$741</c:f>
              <c:numCache>
                <c:formatCode>#,##0</c:formatCode>
                <c:ptCount val="9"/>
                <c:pt idx="0">
                  <c:v>0</c:v>
                </c:pt>
                <c:pt idx="5">
                  <c:v>0</c:v>
                </c:pt>
              </c:numCache>
            </c:numRef>
          </c:val>
          <c:extLst xmlns:c16r2="http://schemas.microsoft.com/office/drawing/2015/06/chart">
            <c:ext xmlns:c16="http://schemas.microsoft.com/office/drawing/2014/chart" uri="{C3380CC4-5D6E-409C-BE32-E72D297353CC}">
              <c16:uniqueId val="{00000008-BF7A-4F93-8278-74C594665313}"/>
            </c:ext>
          </c:extLst>
        </c:ser>
        <c:ser>
          <c:idx val="13"/>
          <c:order val="9"/>
          <c:tx>
            <c:strRef>
              <c:f>Grafer!$B$743</c:f>
              <c:strCache>
                <c:ptCount val="1"/>
                <c:pt idx="0">
                  <c:v>Procesvarme fra KV-produktion</c:v>
                </c:pt>
              </c:strCache>
            </c:strRef>
          </c:tx>
          <c:spPr>
            <a:solidFill>
              <a:schemeClr val="accent5">
                <a:lumMod val="40000"/>
                <a:lumOff val="60000"/>
              </a:schemeClr>
            </a:solidFill>
          </c:spPr>
          <c:invertIfNegative val="0"/>
          <c:val>
            <c:numRef>
              <c:f>Grafer!$C$743:$K$743</c:f>
              <c:numCache>
                <c:formatCode>#,##0</c:formatCode>
                <c:ptCount val="9"/>
                <c:pt idx="5">
                  <c:v>0</c:v>
                </c:pt>
              </c:numCache>
            </c:numRef>
          </c:val>
          <c:extLst xmlns:c16r2="http://schemas.microsoft.com/office/drawing/2015/06/chart">
            <c:ext xmlns:c16="http://schemas.microsoft.com/office/drawing/2014/chart" uri="{C3380CC4-5D6E-409C-BE32-E72D297353CC}">
              <c16:uniqueId val="{00000009-BF7A-4F93-8278-74C594665313}"/>
            </c:ext>
          </c:extLst>
        </c:ser>
        <c:ser>
          <c:idx val="10"/>
          <c:order val="10"/>
          <c:tx>
            <c:strRef>
              <c:f>Grafer!$B$742</c:f>
              <c:strCache>
                <c:ptCount val="1"/>
                <c:pt idx="0">
                  <c:v>Fjernvarme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Grafer!$C$742:$K$742</c:f>
              <c:numCache>
                <c:formatCode>#,##0</c:formatCode>
                <c:ptCount val="9"/>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A-BF7A-4F93-8278-74C594665313}"/>
            </c:ext>
          </c:extLst>
        </c:ser>
        <c:ser>
          <c:idx val="11"/>
          <c:order val="11"/>
          <c:tx>
            <c:strRef>
              <c:f>Grafer!$B$744</c:f>
              <c:strCache>
                <c:ptCount val="1"/>
                <c:pt idx="0">
                  <c:v>Biogas</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Grafer!$C$744:$K$744</c:f>
              <c:numCache>
                <c:formatCode>#,##0</c:formatCode>
                <c:ptCount val="9"/>
                <c:pt idx="5">
                  <c:v>0</c:v>
                </c:pt>
              </c:numCache>
            </c:numRef>
          </c:val>
          <c:extLst xmlns:c16r2="http://schemas.microsoft.com/office/drawing/2015/06/chart">
            <c:ext xmlns:c16="http://schemas.microsoft.com/office/drawing/2014/chart" uri="{C3380CC4-5D6E-409C-BE32-E72D297353CC}">
              <c16:uniqueId val="{0000000B-BF7A-4F93-8278-74C594665313}"/>
            </c:ext>
          </c:extLst>
        </c:ser>
        <c:ser>
          <c:idx val="12"/>
          <c:order val="12"/>
          <c:tx>
            <c:strRef>
              <c:f>Grafer!$B$745</c:f>
              <c:strCache>
                <c:ptCount val="1"/>
                <c:pt idx="0">
                  <c:v>Solenergi og jordvarme</c:v>
                </c:pt>
              </c:strCache>
            </c:strRef>
          </c:tx>
          <c:invertIfNegative val="0"/>
          <c:cat>
            <c:strRef>
              <c:f>Grafer!$C$858:$K$858</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Grafer!$C$745:$K$745</c:f>
              <c:numCache>
                <c:formatCode>#,##0</c:formatCode>
                <c:ptCount val="9"/>
                <c:pt idx="0">
                  <c:v>0</c:v>
                </c:pt>
              </c:numCache>
            </c:numRef>
          </c:val>
          <c:extLst xmlns:c16r2="http://schemas.microsoft.com/office/drawing/2015/06/chart">
            <c:ext xmlns:c16="http://schemas.microsoft.com/office/drawing/2014/chart" uri="{C3380CC4-5D6E-409C-BE32-E72D297353CC}">
              <c16:uniqueId val="{0000000C-BF7A-4F93-8278-74C594665313}"/>
            </c:ext>
          </c:extLst>
        </c:ser>
        <c:ser>
          <c:idx val="1"/>
          <c:order val="13"/>
          <c:tx>
            <c:strRef>
              <c:f>Grafer!$B$732</c:f>
              <c:strCache>
                <c:ptCount val="1"/>
                <c:pt idx="0">
                  <c:v>El</c:v>
                </c:pt>
              </c:strCache>
            </c:strRef>
          </c:tx>
          <c:invertIfNegative val="0"/>
          <c:cat>
            <c:strRef>
              <c:f>Grafer!$C$731:$K$731</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Grafer!$C$732:$K$732</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D-BF7A-4F93-8278-74C594665313}"/>
            </c:ext>
          </c:extLst>
        </c:ser>
        <c:dLbls>
          <c:showLegendKey val="0"/>
          <c:showVal val="0"/>
          <c:showCatName val="0"/>
          <c:showSerName val="0"/>
          <c:showPercent val="0"/>
          <c:showBubbleSize val="0"/>
        </c:dLbls>
        <c:gapWidth val="150"/>
        <c:overlap val="100"/>
        <c:axId val="459667136"/>
        <c:axId val="459667528"/>
      </c:barChart>
      <c:catAx>
        <c:axId val="4596671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da-DK"/>
          </a:p>
        </c:txPr>
        <c:crossAx val="459667528"/>
        <c:crosses val="autoZero"/>
        <c:auto val="1"/>
        <c:lblAlgn val="ctr"/>
        <c:lblOffset val="100"/>
        <c:noMultiLvlLbl val="0"/>
      </c:catAx>
      <c:valAx>
        <c:axId val="45966752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596671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377" l="0.70000000000000062" r="0.70000000000000062" t="0.750000000000013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Grafer!$B$118</c:f>
              <c:strCache>
                <c:ptCount val="1"/>
                <c:pt idx="0">
                  <c:v>I alt fossil</c:v>
                </c:pt>
              </c:strCache>
            </c:strRef>
          </c:tx>
          <c:spPr>
            <a:solidFill>
              <a:schemeClr val="accent1">
                <a:lumMod val="75000"/>
              </a:schemeClr>
            </a:solidFill>
          </c:spPr>
          <c:invertIfNegative val="0"/>
          <c:dLbls>
            <c:delete val="1"/>
          </c:dLbls>
          <c:cat>
            <c:strRef>
              <c:f>Grafer!$C$101:$E$101</c:f>
              <c:strCache>
                <c:ptCount val="3"/>
                <c:pt idx="0">
                  <c:v>2018</c:v>
                </c:pt>
                <c:pt idx="1">
                  <c:v>BAU2030</c:v>
                </c:pt>
                <c:pt idx="2">
                  <c:v>BAU2050</c:v>
                </c:pt>
              </c:strCache>
            </c:strRef>
          </c:cat>
          <c:val>
            <c:numRef>
              <c:f>Grafer!$C$118:$E$118</c:f>
              <c:numCache>
                <c:formatCode>#,##0</c:formatCode>
                <c:ptCount val="3"/>
                <c:pt idx="0">
                  <c:v>5016.3923145486724</c:v>
                </c:pt>
                <c:pt idx="1">
                  <c:v>4000.2244467801843</c:v>
                </c:pt>
                <c:pt idx="2">
                  <c:v>3265.5725199999993</c:v>
                </c:pt>
              </c:numCache>
            </c:numRef>
          </c:val>
          <c:extLst xmlns:c16r2="http://schemas.microsoft.com/office/drawing/2015/06/chart">
            <c:ext xmlns:c16="http://schemas.microsoft.com/office/drawing/2014/chart" uri="{C3380CC4-5D6E-409C-BE32-E72D297353CC}">
              <c16:uniqueId val="{00000000-3EE3-43FF-8D5F-A2DE6A62EB82}"/>
            </c:ext>
          </c:extLst>
        </c:ser>
        <c:ser>
          <c:idx val="16"/>
          <c:order val="1"/>
          <c:tx>
            <c:strRef>
              <c:f>Grafer!$B$119</c:f>
              <c:strCache>
                <c:ptCount val="1"/>
                <c:pt idx="0">
                  <c:v>I alt VE</c:v>
                </c:pt>
              </c:strCache>
            </c:strRef>
          </c:tx>
          <c:spPr>
            <a:solidFill>
              <a:schemeClr val="accent3"/>
            </a:solidFill>
          </c:spPr>
          <c:invertIfNegative val="0"/>
          <c:dLbls>
            <c:delete val="1"/>
          </c:dLbls>
          <c:cat>
            <c:strRef>
              <c:f>Grafer!$C$101:$E$101</c:f>
              <c:strCache>
                <c:ptCount val="3"/>
                <c:pt idx="0">
                  <c:v>2018</c:v>
                </c:pt>
                <c:pt idx="1">
                  <c:v>BAU2030</c:v>
                </c:pt>
                <c:pt idx="2">
                  <c:v>BAU2050</c:v>
                </c:pt>
              </c:strCache>
            </c:strRef>
          </c:cat>
          <c:val>
            <c:numRef>
              <c:f>Grafer!$C$119:$E$119</c:f>
              <c:numCache>
                <c:formatCode>#,##0</c:formatCode>
                <c:ptCount val="3"/>
                <c:pt idx="0">
                  <c:v>4888.5589614310993</c:v>
                </c:pt>
                <c:pt idx="1">
                  <c:v>5767.6674707558586</c:v>
                </c:pt>
                <c:pt idx="2">
                  <c:v>5632.111893617609</c:v>
                </c:pt>
              </c:numCache>
            </c:numRef>
          </c:val>
          <c:extLst xmlns:c16r2="http://schemas.microsoft.com/office/drawing/2015/06/char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459661648"/>
        <c:axId val="459668312"/>
      </c:barChart>
      <c:catAx>
        <c:axId val="459661648"/>
        <c:scaling>
          <c:orientation val="minMax"/>
        </c:scaling>
        <c:delete val="0"/>
        <c:axPos val="b"/>
        <c:numFmt formatCode="General" sourceLinked="1"/>
        <c:majorTickMark val="out"/>
        <c:minorTickMark val="none"/>
        <c:tickLblPos val="nextTo"/>
        <c:crossAx val="459668312"/>
        <c:crosses val="autoZero"/>
        <c:auto val="1"/>
        <c:lblAlgn val="ctr"/>
        <c:lblOffset val="100"/>
        <c:noMultiLvlLbl val="0"/>
      </c:catAx>
      <c:valAx>
        <c:axId val="459668312"/>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596616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Grafer!$B$118</c:f>
              <c:strCache>
                <c:ptCount val="1"/>
                <c:pt idx="0">
                  <c:v>I alt fossil</c:v>
                </c:pt>
              </c:strCache>
            </c:strRef>
          </c:tx>
          <c:spPr>
            <a:solidFill>
              <a:schemeClr val="accent1">
                <a:lumMod val="75000"/>
              </a:schemeClr>
            </a:solidFill>
          </c:spPr>
          <c:invertIfNegative val="0"/>
          <c:dLbls>
            <c:delete val="1"/>
          </c:dLbls>
          <c:cat>
            <c:strRef>
              <c:f>Grafer!$C$101:$E$101</c:f>
              <c:strCache>
                <c:ptCount val="3"/>
                <c:pt idx="0">
                  <c:v>2018</c:v>
                </c:pt>
                <c:pt idx="1">
                  <c:v>BAU2030</c:v>
                </c:pt>
                <c:pt idx="2">
                  <c:v>BAU2050</c:v>
                </c:pt>
              </c:strCache>
            </c:strRef>
          </c:cat>
          <c:val>
            <c:numRef>
              <c:f>Grafer!$C$118:$E$118</c:f>
              <c:numCache>
                <c:formatCode>#,##0</c:formatCode>
                <c:ptCount val="3"/>
                <c:pt idx="0">
                  <c:v>5016.3923145486724</c:v>
                </c:pt>
                <c:pt idx="1">
                  <c:v>4000.2244467801843</c:v>
                </c:pt>
                <c:pt idx="2">
                  <c:v>3265.5725199999993</c:v>
                </c:pt>
              </c:numCache>
            </c:numRef>
          </c:val>
          <c:extLst xmlns:c16r2="http://schemas.microsoft.com/office/drawing/2015/06/chart">
            <c:ext xmlns:c16="http://schemas.microsoft.com/office/drawing/2014/chart" uri="{C3380CC4-5D6E-409C-BE32-E72D297353CC}">
              <c16:uniqueId val="{00000000-9729-4D49-8A92-C2F137001EE2}"/>
            </c:ext>
          </c:extLst>
        </c:ser>
        <c:ser>
          <c:idx val="16"/>
          <c:order val="1"/>
          <c:tx>
            <c:strRef>
              <c:f>Grafer!$B$119</c:f>
              <c:strCache>
                <c:ptCount val="1"/>
                <c:pt idx="0">
                  <c:v>I alt VE</c:v>
                </c:pt>
              </c:strCache>
            </c:strRef>
          </c:tx>
          <c:spPr>
            <a:solidFill>
              <a:schemeClr val="accent3"/>
            </a:solidFill>
          </c:spPr>
          <c:invertIfNegative val="0"/>
          <c:dLbls>
            <c:delete val="1"/>
          </c:dLbls>
          <c:cat>
            <c:strRef>
              <c:f>Grafer!$C$101:$E$101</c:f>
              <c:strCache>
                <c:ptCount val="3"/>
                <c:pt idx="0">
                  <c:v>2018</c:v>
                </c:pt>
                <c:pt idx="1">
                  <c:v>BAU2030</c:v>
                </c:pt>
                <c:pt idx="2">
                  <c:v>BAU2050</c:v>
                </c:pt>
              </c:strCache>
            </c:strRef>
          </c:cat>
          <c:val>
            <c:numRef>
              <c:f>Grafer!$C$119:$E$119</c:f>
              <c:numCache>
                <c:formatCode>#,##0</c:formatCode>
                <c:ptCount val="3"/>
                <c:pt idx="0">
                  <c:v>4888.5589614310993</c:v>
                </c:pt>
                <c:pt idx="1">
                  <c:v>5767.6674707558586</c:v>
                </c:pt>
                <c:pt idx="2">
                  <c:v>5632.111893617609</c:v>
                </c:pt>
              </c:numCache>
            </c:numRef>
          </c:val>
          <c:extLst xmlns:c16r2="http://schemas.microsoft.com/office/drawing/2015/06/char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459665960"/>
        <c:axId val="459662040"/>
      </c:barChart>
      <c:catAx>
        <c:axId val="459665960"/>
        <c:scaling>
          <c:orientation val="minMax"/>
        </c:scaling>
        <c:delete val="0"/>
        <c:axPos val="b"/>
        <c:numFmt formatCode="General" sourceLinked="1"/>
        <c:majorTickMark val="out"/>
        <c:minorTickMark val="none"/>
        <c:tickLblPos val="nextTo"/>
        <c:crossAx val="459662040"/>
        <c:crosses val="autoZero"/>
        <c:auto val="1"/>
        <c:lblAlgn val="ctr"/>
        <c:lblOffset val="100"/>
        <c:noMultiLvlLbl val="0"/>
      </c:catAx>
      <c:valAx>
        <c:axId val="459662040"/>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59665960"/>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Grafer!$B$102</c:f>
              <c:strCache>
                <c:ptCount val="1"/>
                <c:pt idx="0">
                  <c:v>Elimport (fossilbaseret)</c:v>
                </c:pt>
              </c:strCache>
            </c:strRef>
          </c:tx>
          <c:invertIfNegative val="0"/>
          <c:cat>
            <c:strRef>
              <c:f>Grafer!$C$101:$E$101</c:f>
              <c:strCache>
                <c:ptCount val="3"/>
                <c:pt idx="0">
                  <c:v>2018</c:v>
                </c:pt>
                <c:pt idx="1">
                  <c:v>BAU2030</c:v>
                </c:pt>
                <c:pt idx="2">
                  <c:v>BAU2050</c:v>
                </c:pt>
              </c:strCache>
            </c:strRef>
          </c:cat>
          <c:val>
            <c:numRef>
              <c:f>Grafer!$C$102:$E$102</c:f>
              <c:numCache>
                <c:formatCode>#,##0</c:formatCode>
                <c:ptCount val="3"/>
                <c:pt idx="0">
                  <c:v>-73.331285451328</c:v>
                </c:pt>
                <c:pt idx="1">
                  <c:v>-499.28707721981556</c:v>
                </c:pt>
                <c:pt idx="2">
                  <c:v>0</c:v>
                </c:pt>
              </c:numCache>
            </c:numRef>
          </c:val>
          <c:extLst xmlns:c16r2="http://schemas.microsoft.com/office/drawing/2015/06/chart">
            <c:ext xmlns:c16="http://schemas.microsoft.com/office/drawing/2014/chart" uri="{C3380CC4-5D6E-409C-BE32-E72D297353CC}">
              <c16:uniqueId val="{00000000-2857-4F0D-968F-7A62ED6696B9}"/>
            </c:ext>
          </c:extLst>
        </c:ser>
        <c:ser>
          <c:idx val="2"/>
          <c:order val="1"/>
          <c:tx>
            <c:strRef>
              <c:f>Grafer!$B$103</c:f>
              <c:strCache>
                <c:ptCount val="1"/>
                <c:pt idx="0">
                  <c:v>Kul</c:v>
                </c:pt>
              </c:strCache>
            </c:strRef>
          </c:tx>
          <c:invertIfNegative val="0"/>
          <c:cat>
            <c:strRef>
              <c:f>Grafer!$C$101:$E$101</c:f>
              <c:strCache>
                <c:ptCount val="3"/>
                <c:pt idx="0">
                  <c:v>2018</c:v>
                </c:pt>
                <c:pt idx="1">
                  <c:v>BAU2030</c:v>
                </c:pt>
                <c:pt idx="2">
                  <c:v>BAU2050</c:v>
                </c:pt>
              </c:strCache>
            </c:strRef>
          </c:cat>
          <c:val>
            <c:numRef>
              <c:f>Grafer!$C$103:$E$103</c:f>
              <c:numCache>
                <c:formatCode>#,##0</c:formatCode>
                <c:ptCount val="3"/>
                <c:pt idx="0">
                  <c:v>9.3000000000000007</c:v>
                </c:pt>
                <c:pt idx="1">
                  <c:v>8.9280000000000008</c:v>
                </c:pt>
                <c:pt idx="2">
                  <c:v>8.370000000000001</c:v>
                </c:pt>
              </c:numCache>
            </c:numRef>
          </c:val>
          <c:extLst xmlns:c16r2="http://schemas.microsoft.com/office/drawing/2015/06/chart">
            <c:ext xmlns:c16="http://schemas.microsoft.com/office/drawing/2014/chart" uri="{C3380CC4-5D6E-409C-BE32-E72D297353CC}">
              <c16:uniqueId val="{00000001-2857-4F0D-968F-7A62ED6696B9}"/>
            </c:ext>
          </c:extLst>
        </c:ser>
        <c:ser>
          <c:idx val="3"/>
          <c:order val="2"/>
          <c:tx>
            <c:strRef>
              <c:f>Grafer!$B$104</c:f>
              <c:strCache>
                <c:ptCount val="1"/>
                <c:pt idx="0">
                  <c:v>Naturgas og LPG</c:v>
                </c:pt>
              </c:strCache>
            </c:strRef>
          </c:tx>
          <c:invertIfNegative val="0"/>
          <c:cat>
            <c:strRef>
              <c:f>Grafer!$C$101:$E$101</c:f>
              <c:strCache>
                <c:ptCount val="3"/>
                <c:pt idx="0">
                  <c:v>2018</c:v>
                </c:pt>
                <c:pt idx="1">
                  <c:v>BAU2030</c:v>
                </c:pt>
                <c:pt idx="2">
                  <c:v>BAU2050</c:v>
                </c:pt>
              </c:strCache>
            </c:strRef>
          </c:cat>
          <c:val>
            <c:numRef>
              <c:f>Grafer!$C$104:$E$104</c:f>
              <c:numCache>
                <c:formatCode>#,##0</c:formatCode>
                <c:ptCount val="3"/>
                <c:pt idx="0">
                  <c:v>1281.4999999999998</c:v>
                </c:pt>
                <c:pt idx="1">
                  <c:v>1088.4923199999998</c:v>
                </c:pt>
                <c:pt idx="2">
                  <c:v>1084.8837999999998</c:v>
                </c:pt>
              </c:numCache>
            </c:numRef>
          </c:val>
          <c:extLst xmlns:c16r2="http://schemas.microsoft.com/office/drawing/2015/06/chart">
            <c:ext xmlns:c16="http://schemas.microsoft.com/office/drawing/2014/chart" uri="{C3380CC4-5D6E-409C-BE32-E72D297353CC}">
              <c16:uniqueId val="{00000002-2857-4F0D-968F-7A62ED6696B9}"/>
            </c:ext>
          </c:extLst>
        </c:ser>
        <c:ser>
          <c:idx val="4"/>
          <c:order val="3"/>
          <c:tx>
            <c:strRef>
              <c:f>Grafer!$B$105</c:f>
              <c:strCache>
                <c:ptCount val="1"/>
                <c:pt idx="0">
                  <c:v>Fuelolie</c:v>
                </c:pt>
              </c:strCache>
            </c:strRef>
          </c:tx>
          <c:invertIfNegative val="0"/>
          <c:cat>
            <c:strRef>
              <c:f>Grafer!$C$101:$E$101</c:f>
              <c:strCache>
                <c:ptCount val="3"/>
                <c:pt idx="0">
                  <c:v>2018</c:v>
                </c:pt>
                <c:pt idx="1">
                  <c:v>BAU2030</c:v>
                </c:pt>
                <c:pt idx="2">
                  <c:v>BAU2050</c:v>
                </c:pt>
              </c:strCache>
            </c:strRef>
          </c:cat>
          <c:val>
            <c:numRef>
              <c:f>Grafer!$C$105:$E$105</c:f>
              <c:numCache>
                <c:formatCode>#,##0</c:formatCode>
                <c:ptCount val="3"/>
                <c:pt idx="0">
                  <c:v>0.1</c:v>
                </c:pt>
                <c:pt idx="1">
                  <c:v>9.5000000000000001E-2</c:v>
                </c:pt>
                <c:pt idx="2">
                  <c:v>9.5000000000000001E-2</c:v>
                </c:pt>
              </c:numCache>
            </c:numRef>
          </c:val>
          <c:extLst xmlns:c16r2="http://schemas.microsoft.com/office/drawing/2015/06/chart">
            <c:ext xmlns:c16="http://schemas.microsoft.com/office/drawing/2014/chart" uri="{C3380CC4-5D6E-409C-BE32-E72D297353CC}">
              <c16:uniqueId val="{00000003-2857-4F0D-968F-7A62ED6696B9}"/>
            </c:ext>
          </c:extLst>
        </c:ser>
        <c:ser>
          <c:idx val="5"/>
          <c:order val="4"/>
          <c:tx>
            <c:strRef>
              <c:f>Grafer!$B$106</c:f>
              <c:strCache>
                <c:ptCount val="1"/>
                <c:pt idx="0">
                  <c:v>Brændselsolie/diesel</c:v>
                </c:pt>
              </c:strCache>
            </c:strRef>
          </c:tx>
          <c:invertIfNegative val="0"/>
          <c:cat>
            <c:strRef>
              <c:f>Grafer!$C$101:$E$101</c:f>
              <c:strCache>
                <c:ptCount val="3"/>
                <c:pt idx="0">
                  <c:v>2018</c:v>
                </c:pt>
                <c:pt idx="1">
                  <c:v>BAU2030</c:v>
                </c:pt>
                <c:pt idx="2">
                  <c:v>BAU2050</c:v>
                </c:pt>
              </c:strCache>
            </c:strRef>
          </c:cat>
          <c:val>
            <c:numRef>
              <c:f>Grafer!$C$106:$E$106</c:f>
              <c:numCache>
                <c:formatCode>#,##0</c:formatCode>
                <c:ptCount val="3"/>
                <c:pt idx="0">
                  <c:v>2041.9823000000001</c:v>
                </c:pt>
                <c:pt idx="1">
                  <c:v>1801.011577</c:v>
                </c:pt>
                <c:pt idx="2">
                  <c:v>1059.85546</c:v>
                </c:pt>
              </c:numCache>
            </c:numRef>
          </c:val>
          <c:extLst xmlns:c16r2="http://schemas.microsoft.com/office/drawing/2015/06/chart">
            <c:ext xmlns:c16="http://schemas.microsoft.com/office/drawing/2014/chart" uri="{C3380CC4-5D6E-409C-BE32-E72D297353CC}">
              <c16:uniqueId val="{00000004-2857-4F0D-968F-7A62ED6696B9}"/>
            </c:ext>
          </c:extLst>
        </c:ser>
        <c:ser>
          <c:idx val="14"/>
          <c:order val="5"/>
          <c:tx>
            <c:strRef>
              <c:f>Grafer!$B$107</c:f>
              <c:strCache>
                <c:ptCount val="1"/>
                <c:pt idx="0">
                  <c:v>JP1</c:v>
                </c:pt>
              </c:strCache>
            </c:strRef>
          </c:tx>
          <c:spPr>
            <a:solidFill>
              <a:srgbClr val="D9AAA9"/>
            </a:solidFill>
          </c:spPr>
          <c:invertIfNegative val="0"/>
          <c:cat>
            <c:strRef>
              <c:f>Grafer!$C$101:$E$101</c:f>
              <c:strCache>
                <c:ptCount val="3"/>
                <c:pt idx="0">
                  <c:v>2018</c:v>
                </c:pt>
                <c:pt idx="1">
                  <c:v>BAU2030</c:v>
                </c:pt>
                <c:pt idx="2">
                  <c:v>BAU2050</c:v>
                </c:pt>
              </c:strCache>
            </c:strRef>
          </c:cat>
          <c:val>
            <c:numRef>
              <c:f>Grafer!$C$107:$E$107</c:f>
              <c:numCache>
                <c:formatCode>#,##0</c:formatCode>
                <c:ptCount val="3"/>
                <c:pt idx="0">
                  <c:v>760.2</c:v>
                </c:pt>
                <c:pt idx="1">
                  <c:v>813.4140000000001</c:v>
                </c:pt>
                <c:pt idx="2">
                  <c:v>912.24</c:v>
                </c:pt>
              </c:numCache>
            </c:numRef>
          </c:val>
          <c:extLst xmlns:c16r2="http://schemas.microsoft.com/office/drawing/2015/06/chart">
            <c:ext xmlns:c16="http://schemas.microsoft.com/office/drawing/2014/chart" uri="{C3380CC4-5D6E-409C-BE32-E72D297353CC}">
              <c16:uniqueId val="{00000005-2857-4F0D-968F-7A62ED6696B9}"/>
            </c:ext>
          </c:extLst>
        </c:ser>
        <c:ser>
          <c:idx val="6"/>
          <c:order val="6"/>
          <c:tx>
            <c:strRef>
              <c:f>Grafer!$B$108</c:f>
              <c:strCache>
                <c:ptCount val="1"/>
                <c:pt idx="0">
                  <c:v>Benzin</c:v>
                </c:pt>
              </c:strCache>
            </c:strRef>
          </c:tx>
          <c:invertIfNegative val="0"/>
          <c:cat>
            <c:strRef>
              <c:f>Grafer!$C$101:$E$101</c:f>
              <c:strCache>
                <c:ptCount val="3"/>
                <c:pt idx="0">
                  <c:v>2018</c:v>
                </c:pt>
                <c:pt idx="1">
                  <c:v>BAU2030</c:v>
                </c:pt>
                <c:pt idx="2">
                  <c:v>BAU2050</c:v>
                </c:pt>
              </c:strCache>
            </c:strRef>
          </c:cat>
          <c:val>
            <c:numRef>
              <c:f>Grafer!$C$108:$E$108</c:f>
              <c:numCache>
                <c:formatCode>#,##0</c:formatCode>
                <c:ptCount val="3"/>
                <c:pt idx="0">
                  <c:v>996.6413</c:v>
                </c:pt>
                <c:pt idx="1">
                  <c:v>787.57062700000006</c:v>
                </c:pt>
                <c:pt idx="2">
                  <c:v>200.12826000000001</c:v>
                </c:pt>
              </c:numCache>
            </c:numRef>
          </c:val>
          <c:extLst xmlns:c16r2="http://schemas.microsoft.com/office/drawing/2015/06/chart">
            <c:ext xmlns:c16="http://schemas.microsoft.com/office/drawing/2014/chart" uri="{C3380CC4-5D6E-409C-BE32-E72D297353CC}">
              <c16:uniqueId val="{00000006-2857-4F0D-968F-7A62ED6696B9}"/>
            </c:ext>
          </c:extLst>
        </c:ser>
        <c:ser>
          <c:idx val="7"/>
          <c:order val="7"/>
          <c:tx>
            <c:strRef>
              <c:f>Grafer!$B$109</c:f>
              <c:strCache>
                <c:ptCount val="1"/>
                <c:pt idx="0">
                  <c:v>Affald, ikke bionedbrydeligt</c:v>
                </c:pt>
              </c:strCache>
            </c:strRef>
          </c:tx>
          <c:invertIfNegative val="0"/>
          <c:cat>
            <c:strRef>
              <c:f>Grafer!$C$101:$E$101</c:f>
              <c:strCache>
                <c:ptCount val="3"/>
                <c:pt idx="0">
                  <c:v>2018</c:v>
                </c:pt>
                <c:pt idx="1">
                  <c:v>BAU2030</c:v>
                </c:pt>
                <c:pt idx="2">
                  <c:v>BAU2050</c:v>
                </c:pt>
              </c:strCache>
            </c:strRef>
          </c:cat>
          <c:val>
            <c:numRef>
              <c:f>Grafer!$C$109:$E$109</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7-2857-4F0D-968F-7A62ED6696B9}"/>
            </c:ext>
          </c:extLst>
        </c:ser>
        <c:ser>
          <c:idx val="8"/>
          <c:order val="8"/>
          <c:tx>
            <c:strRef>
              <c:f>Grafer!$B$110</c:f>
              <c:strCache>
                <c:ptCount val="1"/>
                <c:pt idx="0">
                  <c:v>Affald, bionedbrydeligt</c:v>
                </c:pt>
              </c:strCache>
            </c:strRef>
          </c:tx>
          <c:invertIfNegative val="0"/>
          <c:cat>
            <c:strRef>
              <c:f>Grafer!$C$101:$E$101</c:f>
              <c:strCache>
                <c:ptCount val="3"/>
                <c:pt idx="0">
                  <c:v>2018</c:v>
                </c:pt>
                <c:pt idx="1">
                  <c:v>BAU2030</c:v>
                </c:pt>
                <c:pt idx="2">
                  <c:v>BAU2050</c:v>
                </c:pt>
              </c:strCache>
            </c:strRef>
          </c:cat>
          <c:val>
            <c:numRef>
              <c:f>Grafer!$C$110:$E$110</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8-2857-4F0D-968F-7A62ED6696B9}"/>
            </c:ext>
          </c:extLst>
        </c:ser>
        <c:ser>
          <c:idx val="9"/>
          <c:order val="9"/>
          <c:tx>
            <c:strRef>
              <c:f>Grafer!$B$111</c:f>
              <c:strCache>
                <c:ptCount val="1"/>
                <c:pt idx="0">
                  <c:v>Biomasse</c:v>
                </c:pt>
              </c:strCache>
            </c:strRef>
          </c:tx>
          <c:invertIfNegative val="0"/>
          <c:cat>
            <c:strRef>
              <c:f>Grafer!$C$101:$E$101</c:f>
              <c:strCache>
                <c:ptCount val="3"/>
                <c:pt idx="0">
                  <c:v>2018</c:v>
                </c:pt>
                <c:pt idx="1">
                  <c:v>BAU2030</c:v>
                </c:pt>
                <c:pt idx="2">
                  <c:v>BAU2050</c:v>
                </c:pt>
              </c:strCache>
            </c:strRef>
          </c:cat>
          <c:val>
            <c:numRef>
              <c:f>Grafer!$C$111:$E$111</c:f>
              <c:numCache>
                <c:formatCode>#,##0</c:formatCode>
                <c:ptCount val="3"/>
                <c:pt idx="0">
                  <c:v>3614.7764000000002</c:v>
                </c:pt>
                <c:pt idx="1">
                  <c:v>3489.6524600000002</c:v>
                </c:pt>
                <c:pt idx="2">
                  <c:v>3221.9262800000006</c:v>
                </c:pt>
              </c:numCache>
            </c:numRef>
          </c:val>
          <c:extLst xmlns:c16r2="http://schemas.microsoft.com/office/drawing/2015/06/chart">
            <c:ext xmlns:c16="http://schemas.microsoft.com/office/drawing/2014/chart" uri="{C3380CC4-5D6E-409C-BE32-E72D297353CC}">
              <c16:uniqueId val="{00000009-2857-4F0D-968F-7A62ED6696B9}"/>
            </c:ext>
          </c:extLst>
        </c:ser>
        <c:ser>
          <c:idx val="10"/>
          <c:order val="10"/>
          <c:tx>
            <c:strRef>
              <c:f>Grafer!$B$112</c:f>
              <c:strCache>
                <c:ptCount val="1"/>
                <c:pt idx="0">
                  <c:v>Vindenergi</c:v>
                </c:pt>
              </c:strCache>
            </c:strRef>
          </c:tx>
          <c:invertIfNegative val="0"/>
          <c:cat>
            <c:strRef>
              <c:f>Grafer!$C$101:$E$101</c:f>
              <c:strCache>
                <c:ptCount val="3"/>
                <c:pt idx="0">
                  <c:v>2018</c:v>
                </c:pt>
                <c:pt idx="1">
                  <c:v>BAU2030</c:v>
                </c:pt>
                <c:pt idx="2">
                  <c:v>BAU2050</c:v>
                </c:pt>
              </c:strCache>
            </c:strRef>
          </c:cat>
          <c:val>
            <c:numRef>
              <c:f>Grafer!$C$112:$E$112</c:f>
              <c:numCache>
                <c:formatCode>#,##0</c:formatCode>
                <c:ptCount val="3"/>
                <c:pt idx="0">
                  <c:v>1209.5999999999999</c:v>
                </c:pt>
                <c:pt idx="1">
                  <c:v>2195.6</c:v>
                </c:pt>
                <c:pt idx="2">
                  <c:v>1489.3999999999999</c:v>
                </c:pt>
              </c:numCache>
            </c:numRef>
          </c:val>
          <c:extLst xmlns:c16r2="http://schemas.microsoft.com/office/drawing/2015/06/chart">
            <c:ext xmlns:c16="http://schemas.microsoft.com/office/drawing/2014/chart" uri="{C3380CC4-5D6E-409C-BE32-E72D297353CC}">
              <c16:uniqueId val="{0000000A-2857-4F0D-968F-7A62ED6696B9}"/>
            </c:ext>
          </c:extLst>
        </c:ser>
        <c:ser>
          <c:idx val="11"/>
          <c:order val="11"/>
          <c:tx>
            <c:strRef>
              <c:f>Grafer!$B$113</c:f>
              <c:strCache>
                <c:ptCount val="1"/>
                <c:pt idx="0">
                  <c:v>Biogas</c:v>
                </c:pt>
              </c:strCache>
            </c:strRef>
          </c:tx>
          <c:invertIfNegative val="0"/>
          <c:cat>
            <c:strRef>
              <c:f>Grafer!$C$101:$E$101</c:f>
              <c:strCache>
                <c:ptCount val="3"/>
                <c:pt idx="0">
                  <c:v>2018</c:v>
                </c:pt>
                <c:pt idx="1">
                  <c:v>BAU2030</c:v>
                </c:pt>
                <c:pt idx="2">
                  <c:v>BAU2050</c:v>
                </c:pt>
              </c:strCache>
            </c:strRef>
          </c:cat>
          <c:val>
            <c:numRef>
              <c:f>Grafer!$C$113:$E$113</c:f>
              <c:numCache>
                <c:formatCode>#,##0</c:formatCode>
                <c:ptCount val="3"/>
                <c:pt idx="0">
                  <c:v>30.7</c:v>
                </c:pt>
                <c:pt idx="1">
                  <c:v>29.472000000000001</c:v>
                </c:pt>
                <c:pt idx="2">
                  <c:v>27.630000000000003</c:v>
                </c:pt>
              </c:numCache>
            </c:numRef>
          </c:val>
          <c:extLst xmlns:c16r2="http://schemas.microsoft.com/office/drawing/2015/06/chart">
            <c:ext xmlns:c16="http://schemas.microsoft.com/office/drawing/2014/chart" uri="{C3380CC4-5D6E-409C-BE32-E72D297353CC}">
              <c16:uniqueId val="{0000000B-2857-4F0D-968F-7A62ED6696B9}"/>
            </c:ext>
          </c:extLst>
        </c:ser>
        <c:ser>
          <c:idx val="12"/>
          <c:order val="12"/>
          <c:tx>
            <c:strRef>
              <c:f>Grafer!$B$114</c:f>
              <c:strCache>
                <c:ptCount val="1"/>
                <c:pt idx="0">
                  <c:v>Solenergi</c:v>
                </c:pt>
              </c:strCache>
            </c:strRef>
          </c:tx>
          <c:invertIfNegative val="0"/>
          <c:cat>
            <c:strRef>
              <c:f>Grafer!$C$101:$E$101</c:f>
              <c:strCache>
                <c:ptCount val="3"/>
                <c:pt idx="0">
                  <c:v>2018</c:v>
                </c:pt>
                <c:pt idx="1">
                  <c:v>BAU2030</c:v>
                </c:pt>
                <c:pt idx="2">
                  <c:v>BAU2050</c:v>
                </c:pt>
              </c:strCache>
            </c:strRef>
          </c:cat>
          <c:val>
            <c:numRef>
              <c:f>Grafer!$C$114:$E$114</c:f>
              <c:numCache>
                <c:formatCode>#,##0</c:formatCode>
                <c:ptCount val="3"/>
                <c:pt idx="0">
                  <c:v>73.099999999999994</c:v>
                </c:pt>
                <c:pt idx="1">
                  <c:v>237.26000000000002</c:v>
                </c:pt>
                <c:pt idx="2">
                  <c:v>237.26000000000002</c:v>
                </c:pt>
              </c:numCache>
            </c:numRef>
          </c:val>
          <c:extLst xmlns:c16r2="http://schemas.microsoft.com/office/drawing/2015/06/chart">
            <c:ext xmlns:c16="http://schemas.microsoft.com/office/drawing/2014/chart" uri="{C3380CC4-5D6E-409C-BE32-E72D297353CC}">
              <c16:uniqueId val="{0000000C-2857-4F0D-968F-7A62ED6696B9}"/>
            </c:ext>
          </c:extLst>
        </c:ser>
        <c:ser>
          <c:idx val="0"/>
          <c:order val="13"/>
          <c:tx>
            <c:strRef>
              <c:f>Grafer!$B$115</c:f>
              <c:strCache>
                <c:ptCount val="1"/>
                <c:pt idx="0">
                  <c:v>Jordvarme, geotermi, vandkraft mm.</c:v>
                </c:pt>
              </c:strCache>
            </c:strRef>
          </c:tx>
          <c:invertIfNegative val="0"/>
          <c:cat>
            <c:strRef>
              <c:f>Grafer!$C$101:$E$101</c:f>
              <c:strCache>
                <c:ptCount val="3"/>
                <c:pt idx="0">
                  <c:v>2018</c:v>
                </c:pt>
                <c:pt idx="1">
                  <c:v>BAU2030</c:v>
                </c:pt>
                <c:pt idx="2">
                  <c:v>BAU2050</c:v>
                </c:pt>
              </c:strCache>
            </c:strRef>
          </c:cat>
          <c:val>
            <c:numRef>
              <c:f>Grafer!$C$115:$E$115</c:f>
              <c:numCache>
                <c:formatCode>#,##0</c:formatCode>
                <c:ptCount val="3"/>
                <c:pt idx="0">
                  <c:v>18</c:v>
                </c:pt>
                <c:pt idx="1">
                  <c:v>207.98000000000002</c:v>
                </c:pt>
                <c:pt idx="2">
                  <c:v>273</c:v>
                </c:pt>
              </c:numCache>
            </c:numRef>
          </c:val>
          <c:extLst xmlns:c16r2="http://schemas.microsoft.com/office/drawing/2015/06/chart">
            <c:ext xmlns:c16="http://schemas.microsoft.com/office/drawing/2014/chart" uri="{C3380CC4-5D6E-409C-BE32-E72D297353CC}">
              <c16:uniqueId val="{0000000D-2857-4F0D-968F-7A62ED6696B9}"/>
            </c:ext>
          </c:extLst>
        </c:ser>
        <c:ser>
          <c:idx val="13"/>
          <c:order val="14"/>
          <c:tx>
            <c:strRef>
              <c:f>Grafer!$B$116</c:f>
              <c:strCache>
                <c:ptCount val="1"/>
                <c:pt idx="0">
                  <c:v>Elimport (VE-baseret)</c:v>
                </c:pt>
              </c:strCache>
            </c:strRef>
          </c:tx>
          <c:spPr>
            <a:solidFill>
              <a:srgbClr val="C6D6AC"/>
            </a:solidFill>
          </c:spPr>
          <c:invertIfNegative val="0"/>
          <c:cat>
            <c:strRef>
              <c:f>Grafer!$C$101:$E$101</c:f>
              <c:strCache>
                <c:ptCount val="3"/>
                <c:pt idx="0">
                  <c:v>2018</c:v>
                </c:pt>
                <c:pt idx="1">
                  <c:v>BAU2030</c:v>
                </c:pt>
                <c:pt idx="2">
                  <c:v>BAU2050</c:v>
                </c:pt>
              </c:strCache>
            </c:strRef>
          </c:cat>
          <c:val>
            <c:numRef>
              <c:f>Grafer!$C$116:$E$116</c:f>
              <c:numCache>
                <c:formatCode>#,##0</c:formatCode>
                <c:ptCount val="3"/>
                <c:pt idx="0">
                  <c:v>-57.61743856890056</c:v>
                </c:pt>
                <c:pt idx="1">
                  <c:v>-392.29698924414072</c:v>
                </c:pt>
                <c:pt idx="2">
                  <c:v>382.89561361760877</c:v>
                </c:pt>
              </c:numCache>
            </c:numRef>
          </c:val>
          <c:extLst xmlns:c16r2="http://schemas.microsoft.com/office/drawing/2015/06/char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459664784"/>
        <c:axId val="459668704"/>
      </c:barChart>
      <c:catAx>
        <c:axId val="4596647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59668704"/>
        <c:crosses val="autoZero"/>
        <c:auto val="1"/>
        <c:lblAlgn val="ctr"/>
        <c:lblOffset val="100"/>
        <c:noMultiLvlLbl val="0"/>
      </c:catAx>
      <c:valAx>
        <c:axId val="459668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5966478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088" l="0.70000000000000062" r="0.70000000000000062" t="0.7500000000000108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Grafer!$C$101</c:f>
              <c:strCache>
                <c:ptCount val="1"/>
                <c:pt idx="0">
                  <c:v>2018</c:v>
                </c:pt>
              </c:strCache>
            </c:strRef>
          </c:tx>
          <c:spPr>
            <a:solidFill>
              <a:schemeClr val="accent5"/>
            </a:solidFill>
          </c:spPr>
          <c:invertIfNegative val="0"/>
          <c:cat>
            <c:strRef>
              <c:f>Grafer!$B$102:$B$116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Grafer!$C$102:$C$116</c:f>
              <c:numCache>
                <c:formatCode>#,##0</c:formatCode>
                <c:ptCount val="15"/>
                <c:pt idx="0">
                  <c:v>-73.331285451328</c:v>
                </c:pt>
                <c:pt idx="1">
                  <c:v>9.3000000000000007</c:v>
                </c:pt>
                <c:pt idx="2">
                  <c:v>1281.4999999999998</c:v>
                </c:pt>
                <c:pt idx="3">
                  <c:v>0.1</c:v>
                </c:pt>
                <c:pt idx="4">
                  <c:v>2041.9823000000001</c:v>
                </c:pt>
                <c:pt idx="5">
                  <c:v>760.2</c:v>
                </c:pt>
                <c:pt idx="6">
                  <c:v>996.6413</c:v>
                </c:pt>
                <c:pt idx="7">
                  <c:v>0</c:v>
                </c:pt>
                <c:pt idx="8">
                  <c:v>0</c:v>
                </c:pt>
                <c:pt idx="9">
                  <c:v>3614.7764000000002</c:v>
                </c:pt>
                <c:pt idx="10">
                  <c:v>1209.5999999999999</c:v>
                </c:pt>
                <c:pt idx="11">
                  <c:v>30.7</c:v>
                </c:pt>
                <c:pt idx="12">
                  <c:v>73.099999999999994</c:v>
                </c:pt>
                <c:pt idx="13">
                  <c:v>18</c:v>
                </c:pt>
                <c:pt idx="14">
                  <c:v>-57.61743856890056</c:v>
                </c:pt>
              </c:numCache>
            </c:numRef>
          </c:val>
          <c:extLst xmlns:c16r2="http://schemas.microsoft.com/office/drawing/2015/06/chart">
            <c:ext xmlns:c16="http://schemas.microsoft.com/office/drawing/2014/chart" uri="{C3380CC4-5D6E-409C-BE32-E72D297353CC}">
              <c16:uniqueId val="{00000000-AE48-433E-8EEA-39856ECE24AB}"/>
            </c:ext>
          </c:extLst>
        </c:ser>
        <c:ser>
          <c:idx val="3"/>
          <c:order val="1"/>
          <c:tx>
            <c:strRef>
              <c:f>Grafer!$H$101</c:f>
              <c:strCache>
                <c:ptCount val="1"/>
              </c:strCache>
            </c:strRef>
          </c:tx>
          <c:invertIfNegative val="0"/>
          <c:cat>
            <c:strRef>
              <c:f>Grafer!$B$102:$B$116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Grafer!$H$102:$H$116</c:f>
              <c:numCache>
                <c:formatCode>#,##0</c:formatCode>
                <c:ptCount val="15"/>
              </c:numCache>
            </c:numRef>
          </c:val>
          <c:extLst xmlns:c16r2="http://schemas.microsoft.com/office/drawing/2015/06/char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459663608"/>
        <c:axId val="459666744"/>
      </c:barChart>
      <c:catAx>
        <c:axId val="459663608"/>
        <c:scaling>
          <c:orientation val="minMax"/>
        </c:scaling>
        <c:delete val="0"/>
        <c:axPos val="b"/>
        <c:numFmt formatCode="General" sourceLinked="1"/>
        <c:majorTickMark val="out"/>
        <c:minorTickMark val="none"/>
        <c:tickLblPos val="low"/>
        <c:txPr>
          <a:bodyPr rot="-5400000" vert="horz"/>
          <a:lstStyle/>
          <a:p>
            <a:pPr>
              <a:defRPr/>
            </a:pPr>
            <a:endParaRPr lang="da-DK"/>
          </a:p>
        </c:txPr>
        <c:crossAx val="459666744"/>
        <c:crossesAt val="0"/>
        <c:auto val="1"/>
        <c:lblAlgn val="ctr"/>
        <c:lblOffset val="100"/>
        <c:noMultiLvlLbl val="0"/>
      </c:catAx>
      <c:valAx>
        <c:axId val="45966674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59663608"/>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Grafer!$C$101</c:f>
              <c:strCache>
                <c:ptCount val="1"/>
                <c:pt idx="0">
                  <c:v>2018</c:v>
                </c:pt>
              </c:strCache>
            </c:strRef>
          </c:tx>
          <c:spPr>
            <a:solidFill>
              <a:schemeClr val="accent5"/>
            </a:solidFill>
          </c:spPr>
          <c:invertIfNegative val="0"/>
          <c:cat>
            <c:strRef>
              <c:f>Grafer!$B$110:$B$116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Grafer!$C$110:$C$116</c:f>
              <c:numCache>
                <c:formatCode>#,##0</c:formatCode>
                <c:ptCount val="7"/>
                <c:pt idx="0">
                  <c:v>0</c:v>
                </c:pt>
                <c:pt idx="1">
                  <c:v>3614.7764000000002</c:v>
                </c:pt>
                <c:pt idx="2">
                  <c:v>1209.5999999999999</c:v>
                </c:pt>
                <c:pt idx="3">
                  <c:v>30.7</c:v>
                </c:pt>
                <c:pt idx="4">
                  <c:v>73.099999999999994</c:v>
                </c:pt>
                <c:pt idx="5">
                  <c:v>18</c:v>
                </c:pt>
                <c:pt idx="6">
                  <c:v>-57.61743856890056</c:v>
                </c:pt>
              </c:numCache>
            </c:numRef>
          </c:val>
          <c:extLst xmlns:c16r2="http://schemas.microsoft.com/office/drawing/2015/06/chart">
            <c:ext xmlns:c16="http://schemas.microsoft.com/office/drawing/2014/chart" uri="{C3380CC4-5D6E-409C-BE32-E72D297353CC}">
              <c16:uniqueId val="{00000000-EB78-4F1D-A9BF-9F815844292F}"/>
            </c:ext>
          </c:extLst>
        </c:ser>
        <c:ser>
          <c:idx val="3"/>
          <c:order val="1"/>
          <c:tx>
            <c:strRef>
              <c:f>Grafer!$H$101</c:f>
              <c:strCache>
                <c:ptCount val="1"/>
              </c:strCache>
            </c:strRef>
          </c:tx>
          <c:invertIfNegative val="0"/>
          <c:cat>
            <c:strRef>
              <c:f>Grafer!$B$110:$B$116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Grafer!$H$110:$H$116</c:f>
              <c:numCache>
                <c:formatCode>#,##0</c:formatCode>
                <c:ptCount val="7"/>
              </c:numCache>
            </c:numRef>
          </c:val>
          <c:extLst xmlns:c16r2="http://schemas.microsoft.com/office/drawing/2015/06/char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460620656"/>
        <c:axId val="460617128"/>
      </c:barChart>
      <c:catAx>
        <c:axId val="460620656"/>
        <c:scaling>
          <c:orientation val="minMax"/>
        </c:scaling>
        <c:delete val="0"/>
        <c:axPos val="b"/>
        <c:numFmt formatCode="General" sourceLinked="0"/>
        <c:majorTickMark val="out"/>
        <c:minorTickMark val="none"/>
        <c:tickLblPos val="low"/>
        <c:crossAx val="460617128"/>
        <c:crosses val="autoZero"/>
        <c:auto val="1"/>
        <c:lblAlgn val="ctr"/>
        <c:lblOffset val="100"/>
        <c:noMultiLvlLbl val="0"/>
      </c:catAx>
      <c:valAx>
        <c:axId val="4606171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6062065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Grafer!$C$563</c:f>
              <c:strCache>
                <c:ptCount val="1"/>
                <c:pt idx="0">
                  <c:v>2018</c:v>
                </c:pt>
              </c:strCache>
            </c:strRef>
          </c:tx>
          <c:spPr>
            <a:solidFill>
              <a:schemeClr val="accent5"/>
            </a:solidFill>
          </c:spPr>
          <c:invertIfNegative val="0"/>
          <c:cat>
            <c:strRef>
              <c:f>Grafer!$B$564:$B$571</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Grafer!$C$564:$C$571</c:f>
              <c:numCache>
                <c:formatCode>#,##0</c:formatCode>
                <c:ptCount val="8"/>
                <c:pt idx="0">
                  <c:v>-16.253355625390768</c:v>
                </c:pt>
                <c:pt idx="1">
                  <c:v>0.88303500000000013</c:v>
                </c:pt>
                <c:pt idx="2">
                  <c:v>73.307799999999986</c:v>
                </c:pt>
                <c:pt idx="3">
                  <c:v>7.8840000000000004E-3</c:v>
                </c:pt>
                <c:pt idx="4">
                  <c:v>151.1066902</c:v>
                </c:pt>
                <c:pt idx="5">
                  <c:v>54.734400000000001</c:v>
                </c:pt>
                <c:pt idx="6">
                  <c:v>72.7548149</c:v>
                </c:pt>
                <c:pt idx="7">
                  <c:v>0</c:v>
                </c:pt>
              </c:numCache>
            </c:numRef>
          </c:val>
          <c:extLst xmlns:c16r2="http://schemas.microsoft.com/office/drawing/2015/06/chart">
            <c:ext xmlns:c16="http://schemas.microsoft.com/office/drawing/2014/chart" uri="{C3380CC4-5D6E-409C-BE32-E72D297353CC}">
              <c16:uniqueId val="{00000000-2C2A-430F-8E47-F46A09FEA170}"/>
            </c:ext>
          </c:extLst>
        </c:ser>
        <c:ser>
          <c:idx val="3"/>
          <c:order val="1"/>
          <c:tx>
            <c:strRef>
              <c:f>Grafer!$D$563</c:f>
              <c:strCache>
                <c:ptCount val="1"/>
                <c:pt idx="0">
                  <c:v>BAU2030</c:v>
                </c:pt>
              </c:strCache>
            </c:strRef>
          </c:tx>
          <c:invertIfNegative val="0"/>
          <c:cat>
            <c:strRef>
              <c:f>Grafer!$B$564:$B$571</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Grafer!$D$564:$D$571</c:f>
              <c:numCache>
                <c:formatCode>#,##0</c:formatCode>
                <c:ptCount val="8"/>
                <c:pt idx="0">
                  <c:v>0</c:v>
                </c:pt>
                <c:pt idx="1">
                  <c:v>0.84771360000000018</c:v>
                </c:pt>
                <c:pt idx="2">
                  <c:v>62.306362239999999</c:v>
                </c:pt>
                <c:pt idx="3">
                  <c:v>7.4898000000000005E-3</c:v>
                </c:pt>
                <c:pt idx="4">
                  <c:v>133.27485669800001</c:v>
                </c:pt>
                <c:pt idx="5">
                  <c:v>58.565808000000004</c:v>
                </c:pt>
                <c:pt idx="6">
                  <c:v>57.492655771000003</c:v>
                </c:pt>
                <c:pt idx="7">
                  <c:v>0</c:v>
                </c:pt>
              </c:numCache>
            </c:numRef>
          </c:val>
          <c:extLst xmlns:c16r2="http://schemas.microsoft.com/office/drawing/2015/06/char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460617912"/>
        <c:axId val="460618304"/>
      </c:barChart>
      <c:catAx>
        <c:axId val="460617912"/>
        <c:scaling>
          <c:orientation val="minMax"/>
        </c:scaling>
        <c:delete val="0"/>
        <c:axPos val="b"/>
        <c:numFmt formatCode="General" sourceLinked="0"/>
        <c:majorTickMark val="out"/>
        <c:minorTickMark val="none"/>
        <c:tickLblPos val="low"/>
        <c:txPr>
          <a:bodyPr rot="-5400000" vert="horz"/>
          <a:lstStyle/>
          <a:p>
            <a:pPr>
              <a:defRPr/>
            </a:pPr>
            <a:endParaRPr lang="da-DK"/>
          </a:p>
        </c:txPr>
        <c:crossAx val="460618304"/>
        <c:crosses val="autoZero"/>
        <c:auto val="1"/>
        <c:lblAlgn val="ctr"/>
        <c:lblOffset val="100"/>
        <c:noMultiLvlLbl val="0"/>
      </c:catAx>
      <c:valAx>
        <c:axId val="460618304"/>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46061791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Grafer!$C$304</c:f>
              <c:strCache>
                <c:ptCount val="1"/>
                <c:pt idx="0">
                  <c:v>2018</c:v>
                </c:pt>
              </c:strCache>
            </c:strRef>
          </c:tx>
          <c:spPr>
            <a:solidFill>
              <a:schemeClr val="accent5"/>
            </a:solidFill>
          </c:spPr>
          <c:invertIfNegative val="0"/>
          <c:cat>
            <c:strRef>
              <c:f>Grafer!$B$305:$B$310</c:f>
              <c:strCache>
                <c:ptCount val="6"/>
                <c:pt idx="0">
                  <c:v>Individuel opvarmning</c:v>
                </c:pt>
                <c:pt idx="1">
                  <c:v>Kollektiv el- og varmeforsyning</c:v>
                </c:pt>
                <c:pt idx="2">
                  <c:v>Industri</c:v>
                </c:pt>
                <c:pt idx="3">
                  <c:v>Transport</c:v>
                </c:pt>
                <c:pt idx="4">
                  <c:v>Vindkraft mm.</c:v>
                </c:pt>
                <c:pt idx="5">
                  <c:v>El-import</c:v>
                </c:pt>
              </c:strCache>
            </c:strRef>
          </c:cat>
          <c:val>
            <c:numRef>
              <c:f>Grafer!$C$305:$C$310</c:f>
              <c:numCache>
                <c:formatCode>#,##0</c:formatCode>
                <c:ptCount val="6"/>
                <c:pt idx="0">
                  <c:v>1374.2</c:v>
                </c:pt>
                <c:pt idx="1">
                  <c:v>2890.4</c:v>
                </c:pt>
                <c:pt idx="2">
                  <c:v>770.9</c:v>
                </c:pt>
                <c:pt idx="3">
                  <c:v>3748.8</c:v>
                </c:pt>
                <c:pt idx="4">
                  <c:v>1251.5999999999999</c:v>
                </c:pt>
                <c:pt idx="5">
                  <c:v>-130.94872402022855</c:v>
                </c:pt>
              </c:numCache>
            </c:numRef>
          </c:val>
          <c:extLst xmlns:c16r2="http://schemas.microsoft.com/office/drawing/2015/06/chart">
            <c:ext xmlns:c16="http://schemas.microsoft.com/office/drawing/2014/chart" uri="{C3380CC4-5D6E-409C-BE32-E72D297353CC}">
              <c16:uniqueId val="{00000000-A52C-4AFC-B2A8-4AD2EDF9F935}"/>
            </c:ext>
          </c:extLst>
        </c:ser>
        <c:dLbls>
          <c:showLegendKey val="0"/>
          <c:showVal val="0"/>
          <c:showCatName val="0"/>
          <c:showSerName val="0"/>
          <c:showPercent val="0"/>
          <c:showBubbleSize val="0"/>
        </c:dLbls>
        <c:gapWidth val="150"/>
        <c:axId val="460616736"/>
        <c:axId val="460622224"/>
      </c:barChart>
      <c:catAx>
        <c:axId val="460616736"/>
        <c:scaling>
          <c:orientation val="minMax"/>
        </c:scaling>
        <c:delete val="0"/>
        <c:axPos val="b"/>
        <c:numFmt formatCode="General" sourceLinked="0"/>
        <c:majorTickMark val="out"/>
        <c:minorTickMark val="none"/>
        <c:tickLblPos val="low"/>
        <c:crossAx val="460622224"/>
        <c:crosses val="autoZero"/>
        <c:auto val="1"/>
        <c:lblAlgn val="ctr"/>
        <c:lblOffset val="100"/>
        <c:noMultiLvlLbl val="0"/>
      </c:catAx>
      <c:valAx>
        <c:axId val="460622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6061673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Grafer!$D$403</c:f>
              <c:strCache>
                <c:ptCount val="1"/>
                <c:pt idx="0">
                  <c:v>VE</c:v>
                </c:pt>
              </c:strCache>
            </c:strRef>
          </c:tx>
          <c:spPr>
            <a:solidFill>
              <a:schemeClr val="accent3"/>
            </a:solidFill>
          </c:spPr>
          <c:invertIfNegative val="0"/>
          <c:cat>
            <c:multiLvlStrRef>
              <c:f>Grafer!$B$404:$C$415</c:f>
              <c:multiLvlStrCache>
                <c:ptCount val="12"/>
                <c:lvl>
                  <c:pt idx="0">
                    <c:v>2018</c:v>
                  </c:pt>
                  <c:pt idx="1">
                    <c:v>Mål2050</c:v>
                  </c:pt>
                  <c:pt idx="2">
                    <c:v>2018</c:v>
                  </c:pt>
                  <c:pt idx="3">
                    <c:v>Mål2050</c:v>
                  </c:pt>
                  <c:pt idx="4">
                    <c:v>2018</c:v>
                  </c:pt>
                  <c:pt idx="5">
                    <c:v>Mål2050</c:v>
                  </c:pt>
                  <c:pt idx="6">
                    <c:v>2018</c:v>
                  </c:pt>
                  <c:pt idx="7">
                    <c:v>Mål2050</c:v>
                  </c:pt>
                  <c:pt idx="8">
                    <c:v>2018</c:v>
                  </c:pt>
                  <c:pt idx="9">
                    <c:v>Mål2050</c:v>
                  </c:pt>
                  <c:pt idx="10">
                    <c:v>2018</c:v>
                  </c:pt>
                  <c:pt idx="11">
                    <c:v>Mål2050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Grafer!$D$404:$D$415</c:f>
              <c:numCache>
                <c:formatCode>#,##0</c:formatCode>
                <c:ptCount val="12"/>
                <c:pt idx="0">
                  <c:v>871</c:v>
                </c:pt>
                <c:pt idx="1">
                  <c:v>0</c:v>
                </c:pt>
                <c:pt idx="2">
                  <c:v>2688.0000000000005</c:v>
                </c:pt>
                <c:pt idx="3">
                  <c:v>0</c:v>
                </c:pt>
                <c:pt idx="4">
                  <c:v>1</c:v>
                </c:pt>
                <c:pt idx="5">
                  <c:v>0</c:v>
                </c:pt>
                <c:pt idx="6">
                  <c:v>134.57640000000001</c:v>
                </c:pt>
                <c:pt idx="7">
                  <c:v>0</c:v>
                </c:pt>
                <c:pt idx="8">
                  <c:v>1251.5999999999999</c:v>
                </c:pt>
                <c:pt idx="9">
                  <c:v>0</c:v>
                </c:pt>
                <c:pt idx="10">
                  <c:v>-57.61743856890056</c:v>
                </c:pt>
                <c:pt idx="11">
                  <c:v>0</c:v>
                </c:pt>
              </c:numCache>
            </c:numRef>
          </c:val>
          <c:extLst xmlns:c16r2="http://schemas.microsoft.com/office/drawing/2015/06/chart">
            <c:ext xmlns:c16="http://schemas.microsoft.com/office/drawing/2014/chart" uri="{C3380CC4-5D6E-409C-BE32-E72D297353CC}">
              <c16:uniqueId val="{00000000-FBDF-4FFD-A11F-F38B6B9EEA53}"/>
            </c:ext>
          </c:extLst>
        </c:ser>
        <c:ser>
          <c:idx val="1"/>
          <c:order val="1"/>
          <c:tx>
            <c:strRef>
              <c:f>Grafer!$E$403</c:f>
              <c:strCache>
                <c:ptCount val="1"/>
                <c:pt idx="0">
                  <c:v>Fossil</c:v>
                </c:pt>
              </c:strCache>
            </c:strRef>
          </c:tx>
          <c:spPr>
            <a:solidFill>
              <a:schemeClr val="accent1">
                <a:lumMod val="75000"/>
              </a:schemeClr>
            </a:solidFill>
          </c:spPr>
          <c:invertIfNegative val="0"/>
          <c:cat>
            <c:multiLvlStrRef>
              <c:f>Grafer!$B$404:$C$415</c:f>
              <c:multiLvlStrCache>
                <c:ptCount val="12"/>
                <c:lvl>
                  <c:pt idx="0">
                    <c:v>2018</c:v>
                  </c:pt>
                  <c:pt idx="1">
                    <c:v>Mål2050</c:v>
                  </c:pt>
                  <c:pt idx="2">
                    <c:v>2018</c:v>
                  </c:pt>
                  <c:pt idx="3">
                    <c:v>Mål2050</c:v>
                  </c:pt>
                  <c:pt idx="4">
                    <c:v>2018</c:v>
                  </c:pt>
                  <c:pt idx="5">
                    <c:v>Mål2050</c:v>
                  </c:pt>
                  <c:pt idx="6">
                    <c:v>2018</c:v>
                  </c:pt>
                  <c:pt idx="7">
                    <c:v>Mål2050</c:v>
                  </c:pt>
                  <c:pt idx="8">
                    <c:v>2018</c:v>
                  </c:pt>
                  <c:pt idx="9">
                    <c:v>Mål2050</c:v>
                  </c:pt>
                  <c:pt idx="10">
                    <c:v>2018</c:v>
                  </c:pt>
                  <c:pt idx="11">
                    <c:v>Mål2050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Grafer!$E$404:$E$415</c:f>
              <c:numCache>
                <c:formatCode>#,##0</c:formatCode>
                <c:ptCount val="12"/>
                <c:pt idx="0">
                  <c:v>503.20000000000005</c:v>
                </c:pt>
                <c:pt idx="1">
                  <c:v>0</c:v>
                </c:pt>
                <c:pt idx="2">
                  <c:v>202.39999999999964</c:v>
                </c:pt>
                <c:pt idx="3">
                  <c:v>0</c:v>
                </c:pt>
                <c:pt idx="4">
                  <c:v>769.9</c:v>
                </c:pt>
                <c:pt idx="5">
                  <c:v>0</c:v>
                </c:pt>
                <c:pt idx="6">
                  <c:v>3614.2236000000003</c:v>
                </c:pt>
                <c:pt idx="7">
                  <c:v>0</c:v>
                </c:pt>
                <c:pt idx="8">
                  <c:v>0</c:v>
                </c:pt>
                <c:pt idx="9">
                  <c:v>0</c:v>
                </c:pt>
                <c:pt idx="10">
                  <c:v>-73.331285451328</c:v>
                </c:pt>
                <c:pt idx="11">
                  <c:v>0</c:v>
                </c:pt>
              </c:numCache>
            </c:numRef>
          </c:val>
          <c:extLst xmlns:c16r2="http://schemas.microsoft.com/office/drawing/2015/06/char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460623008"/>
        <c:axId val="460617520"/>
      </c:barChart>
      <c:catAx>
        <c:axId val="460623008"/>
        <c:scaling>
          <c:orientation val="minMax"/>
        </c:scaling>
        <c:delete val="0"/>
        <c:axPos val="b"/>
        <c:numFmt formatCode="General" sourceLinked="0"/>
        <c:majorTickMark val="out"/>
        <c:minorTickMark val="none"/>
        <c:tickLblPos val="low"/>
        <c:txPr>
          <a:bodyPr/>
          <a:lstStyle/>
          <a:p>
            <a:pPr>
              <a:defRPr b="0"/>
            </a:pPr>
            <a:endParaRPr lang="da-DK"/>
          </a:p>
        </c:txPr>
        <c:crossAx val="460617520"/>
        <c:crosses val="autoZero"/>
        <c:auto val="1"/>
        <c:lblAlgn val="ctr"/>
        <c:lblOffset val="100"/>
        <c:noMultiLvlLbl val="0"/>
      </c:catAx>
      <c:valAx>
        <c:axId val="460617520"/>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6062300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72222222222213E-2"/>
          <c:y val="3.465346534653465E-2"/>
          <c:w val="0.78242305555555569"/>
          <c:h val="0.85396039603960394"/>
        </c:manualLayout>
      </c:layout>
      <c:barChart>
        <c:barDir val="col"/>
        <c:grouping val="clustered"/>
        <c:varyColors val="0"/>
        <c:ser>
          <c:idx val="0"/>
          <c:order val="0"/>
          <c:tx>
            <c:strRef>
              <c:f>Grafer!$C$449</c:f>
              <c:strCache>
                <c:ptCount val="1"/>
                <c:pt idx="0">
                  <c:v>2018</c:v>
                </c:pt>
              </c:strCache>
            </c:strRef>
          </c:tx>
          <c:spPr>
            <a:solidFill>
              <a:schemeClr val="accent5"/>
            </a:solidFill>
          </c:spPr>
          <c:invertIfNegative val="0"/>
          <c:cat>
            <c:strRef>
              <c:f>Grafer!$B$450:$B$458</c:f>
              <c:strCache>
                <c:ptCount val="9"/>
                <c:pt idx="0">
                  <c:v>Benzinbiler</c:v>
                </c:pt>
                <c:pt idx="1">
                  <c:v>Dieselbiler</c:v>
                </c:pt>
                <c:pt idx="2">
                  <c:v>Varebiler</c:v>
                </c:pt>
                <c:pt idx="3">
                  <c:v>Busser</c:v>
                </c:pt>
                <c:pt idx="4">
                  <c:v>Lastbiler m.m.</c:v>
                </c:pt>
                <c:pt idx="5">
                  <c:v>Traktorer</c:v>
                </c:pt>
                <c:pt idx="6">
                  <c:v>Tog</c:v>
                </c:pt>
                <c:pt idx="7">
                  <c:v>Fly</c:v>
                </c:pt>
                <c:pt idx="8">
                  <c:v>Skibe</c:v>
                </c:pt>
              </c:strCache>
            </c:strRef>
          </c:cat>
          <c:val>
            <c:numRef>
              <c:f>Grafer!$C$450:$C$458</c:f>
              <c:numCache>
                <c:formatCode>#,##0</c:formatCode>
                <c:ptCount val="9"/>
                <c:pt idx="0">
                  <c:v>1027.7</c:v>
                </c:pt>
                <c:pt idx="1">
                  <c:v>813.10000000000014</c:v>
                </c:pt>
                <c:pt idx="2">
                  <c:v>327</c:v>
                </c:pt>
                <c:pt idx="3">
                  <c:v>112.7</c:v>
                </c:pt>
                <c:pt idx="4">
                  <c:v>280.3</c:v>
                </c:pt>
                <c:pt idx="5">
                  <c:v>266.8</c:v>
                </c:pt>
                <c:pt idx="6">
                  <c:v>51.5</c:v>
                </c:pt>
                <c:pt idx="7">
                  <c:v>761</c:v>
                </c:pt>
                <c:pt idx="8">
                  <c:v>108.69999999999999</c:v>
                </c:pt>
              </c:numCache>
            </c:numRef>
          </c:val>
          <c:extLst xmlns:c16r2="http://schemas.microsoft.com/office/drawing/2015/06/chart">
            <c:ext xmlns:c16="http://schemas.microsoft.com/office/drawing/2014/chart" uri="{C3380CC4-5D6E-409C-BE32-E72D297353CC}">
              <c16:uniqueId val="{00000000-E41A-4C78-900D-0B3A9024CFB0}"/>
            </c:ext>
          </c:extLst>
        </c:ser>
        <c:ser>
          <c:idx val="2"/>
          <c:order val="1"/>
          <c:tx>
            <c:strRef>
              <c:f>Grafer!$D$449</c:f>
              <c:strCache>
                <c:ptCount val="1"/>
                <c:pt idx="0">
                  <c:v>BAU2030</c:v>
                </c:pt>
              </c:strCache>
            </c:strRef>
          </c:tx>
          <c:spPr>
            <a:solidFill>
              <a:schemeClr val="accent4"/>
            </a:solidFill>
          </c:spPr>
          <c:invertIfNegative val="0"/>
          <c:cat>
            <c:strRef>
              <c:f>Grafer!$B$450:$B$458</c:f>
              <c:strCache>
                <c:ptCount val="9"/>
                <c:pt idx="0">
                  <c:v>Benzinbiler</c:v>
                </c:pt>
                <c:pt idx="1">
                  <c:v>Dieselbiler</c:v>
                </c:pt>
                <c:pt idx="2">
                  <c:v>Varebiler</c:v>
                </c:pt>
                <c:pt idx="3">
                  <c:v>Busser</c:v>
                </c:pt>
                <c:pt idx="4">
                  <c:v>Lastbiler m.m.</c:v>
                </c:pt>
                <c:pt idx="5">
                  <c:v>Traktorer</c:v>
                </c:pt>
                <c:pt idx="6">
                  <c:v>Tog</c:v>
                </c:pt>
                <c:pt idx="7">
                  <c:v>Fly</c:v>
                </c:pt>
                <c:pt idx="8">
                  <c:v>Skibe</c:v>
                </c:pt>
              </c:strCache>
            </c:strRef>
          </c:cat>
          <c:val>
            <c:numRef>
              <c:f>Grafer!$D$450:$D$458</c:f>
              <c:numCache>
                <c:formatCode>#,##0</c:formatCode>
                <c:ptCount val="9"/>
                <c:pt idx="0">
                  <c:v>815.06887000000006</c:v>
                </c:pt>
                <c:pt idx="1">
                  <c:v>723.65899999999999</c:v>
                </c:pt>
                <c:pt idx="2">
                  <c:v>291.03000000000003</c:v>
                </c:pt>
                <c:pt idx="3">
                  <c:v>119.46200000000002</c:v>
                </c:pt>
                <c:pt idx="4">
                  <c:v>295.99119400000006</c:v>
                </c:pt>
                <c:pt idx="5">
                  <c:v>266.8</c:v>
                </c:pt>
                <c:pt idx="6">
                  <c:v>15.45</c:v>
                </c:pt>
                <c:pt idx="7">
                  <c:v>814.2700000000001</c:v>
                </c:pt>
                <c:pt idx="8">
                  <c:v>103.26499999999999</c:v>
                </c:pt>
              </c:numCache>
            </c:numRef>
          </c:val>
          <c:extLst xmlns:c16r2="http://schemas.microsoft.com/office/drawing/2015/06/char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460619480"/>
        <c:axId val="460619872"/>
      </c:barChart>
      <c:catAx>
        <c:axId val="460619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0619872"/>
        <c:crosses val="autoZero"/>
        <c:auto val="1"/>
        <c:lblAlgn val="ctr"/>
        <c:lblOffset val="100"/>
        <c:noMultiLvlLbl val="0"/>
      </c:catAx>
      <c:valAx>
        <c:axId val="4606198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061948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Grafer!$C$449</c:f>
              <c:strCache>
                <c:ptCount val="1"/>
                <c:pt idx="0">
                  <c:v>2018</c:v>
                </c:pt>
              </c:strCache>
            </c:strRef>
          </c:tx>
          <c:dPt>
            <c:idx val="2"/>
            <c:bubble3D val="0"/>
            <c:spPr>
              <a:solidFill>
                <a:srgbClr val="71588F"/>
              </a:solidFill>
            </c:spPr>
            <c:extLst xmlns:c16r2="http://schemas.microsoft.com/office/drawing/2015/06/chart">
              <c:ext xmlns:c16="http://schemas.microsoft.com/office/drawing/2014/chart" uri="{C3380CC4-5D6E-409C-BE32-E72D297353CC}">
                <c16:uniqueId val="{00000001-4F70-468B-9A09-0CD69155344A}"/>
              </c:ext>
            </c:extLst>
          </c:dPt>
          <c:dPt>
            <c:idx val="3"/>
            <c:bubble3D val="0"/>
            <c:spPr>
              <a:solidFill>
                <a:srgbClr val="89A54E"/>
              </a:solidFill>
            </c:spPr>
            <c:extLst xmlns:c16r2="http://schemas.microsoft.com/office/drawing/2015/06/char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da-DK"/>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Grafer!$B$450:$B$458</c:f>
              <c:strCache>
                <c:ptCount val="9"/>
                <c:pt idx="0">
                  <c:v>Benzinbiler</c:v>
                </c:pt>
                <c:pt idx="1">
                  <c:v>Dieselbiler</c:v>
                </c:pt>
                <c:pt idx="2">
                  <c:v>Varebiler</c:v>
                </c:pt>
                <c:pt idx="3">
                  <c:v>Busser</c:v>
                </c:pt>
                <c:pt idx="4">
                  <c:v>Lastbiler m.m.</c:v>
                </c:pt>
                <c:pt idx="5">
                  <c:v>Traktorer</c:v>
                </c:pt>
                <c:pt idx="6">
                  <c:v>Tog</c:v>
                </c:pt>
                <c:pt idx="7">
                  <c:v>Fly</c:v>
                </c:pt>
                <c:pt idx="8">
                  <c:v>Skibe</c:v>
                </c:pt>
              </c:strCache>
            </c:strRef>
          </c:cat>
          <c:val>
            <c:numRef>
              <c:f>Grafer!$C$450:$C$458</c:f>
              <c:numCache>
                <c:formatCode>#,##0</c:formatCode>
                <c:ptCount val="9"/>
                <c:pt idx="0">
                  <c:v>1027.7</c:v>
                </c:pt>
                <c:pt idx="1">
                  <c:v>813.10000000000014</c:v>
                </c:pt>
                <c:pt idx="2">
                  <c:v>327</c:v>
                </c:pt>
                <c:pt idx="3">
                  <c:v>112.7</c:v>
                </c:pt>
                <c:pt idx="4">
                  <c:v>280.3</c:v>
                </c:pt>
                <c:pt idx="5">
                  <c:v>266.8</c:v>
                </c:pt>
                <c:pt idx="6">
                  <c:v>51.5</c:v>
                </c:pt>
                <c:pt idx="7">
                  <c:v>761</c:v>
                </c:pt>
                <c:pt idx="8">
                  <c:v>108.69999999999999</c:v>
                </c:pt>
              </c:numCache>
            </c:numRef>
          </c:val>
          <c:extLst xmlns:c16r2="http://schemas.microsoft.com/office/drawing/2015/06/char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243" l="0.70000000000000062" r="0.70000000000000062" t="0.7500000000000124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Grafer!$C$642</c:f>
              <c:strCache>
                <c:ptCount val="1"/>
                <c:pt idx="0">
                  <c:v>2018</c:v>
                </c:pt>
              </c:strCache>
            </c:strRef>
          </c:tx>
          <c:spPr>
            <a:solidFill>
              <a:schemeClr val="accent5"/>
            </a:solidFill>
          </c:spPr>
          <c:invertIfNegative val="0"/>
          <c:cat>
            <c:strRef>
              <c:f>Grafer!$B$643:$B$648</c:f>
              <c:strCache>
                <c:ptCount val="6"/>
                <c:pt idx="0">
                  <c:v>Individuel opvarmning</c:v>
                </c:pt>
                <c:pt idx="1">
                  <c:v>Kollektiv el- og varmeforsyning</c:v>
                </c:pt>
                <c:pt idx="2">
                  <c:v>Industri</c:v>
                </c:pt>
                <c:pt idx="3">
                  <c:v>Transport</c:v>
                </c:pt>
                <c:pt idx="4">
                  <c:v>Vindkraft mm.</c:v>
                </c:pt>
                <c:pt idx="5">
                  <c:v>El-import</c:v>
                </c:pt>
              </c:strCache>
            </c:strRef>
          </c:cat>
          <c:val>
            <c:numRef>
              <c:f>Grafer!$C$643:$C$648</c:f>
              <c:numCache>
                <c:formatCode>#,##0</c:formatCode>
                <c:ptCount val="6"/>
                <c:pt idx="0">
                  <c:v>31.159299999999998</c:v>
                </c:pt>
                <c:pt idx="1">
                  <c:v>12.205934999999998</c:v>
                </c:pt>
                <c:pt idx="2">
                  <c:v>44.493400000000001</c:v>
                </c:pt>
                <c:pt idx="3">
                  <c:v>264.93598910000003</c:v>
                </c:pt>
                <c:pt idx="5">
                  <c:v>-16.253355625390768</c:v>
                </c:pt>
              </c:numCache>
            </c:numRef>
          </c:val>
          <c:extLst xmlns:c16r2="http://schemas.microsoft.com/office/drawing/2015/06/chart">
            <c:ext xmlns:c16="http://schemas.microsoft.com/office/drawing/2014/chart" uri="{C3380CC4-5D6E-409C-BE32-E72D297353CC}">
              <c16:uniqueId val="{00000000-B834-4120-8904-F233ED02E234}"/>
            </c:ext>
          </c:extLst>
        </c:ser>
        <c:ser>
          <c:idx val="1"/>
          <c:order val="1"/>
          <c:tx>
            <c:strRef>
              <c:f>Grafer!$D$642</c:f>
              <c:strCache>
                <c:ptCount val="1"/>
                <c:pt idx="0">
                  <c:v>BAU2030</c:v>
                </c:pt>
              </c:strCache>
            </c:strRef>
          </c:tx>
          <c:spPr>
            <a:solidFill>
              <a:schemeClr val="accent4"/>
            </a:solidFill>
          </c:spPr>
          <c:invertIfNegative val="0"/>
          <c:cat>
            <c:strRef>
              <c:f>Grafer!$B$643:$B$648</c:f>
              <c:strCache>
                <c:ptCount val="6"/>
                <c:pt idx="0">
                  <c:v>Individuel opvarmning</c:v>
                </c:pt>
                <c:pt idx="1">
                  <c:v>Kollektiv el- og varmeforsyning</c:v>
                </c:pt>
                <c:pt idx="2">
                  <c:v>Industri</c:v>
                </c:pt>
                <c:pt idx="3">
                  <c:v>Transport</c:v>
                </c:pt>
                <c:pt idx="4">
                  <c:v>Vindkraft mm.</c:v>
                </c:pt>
                <c:pt idx="5">
                  <c:v>El-import</c:v>
                </c:pt>
              </c:strCache>
            </c:strRef>
          </c:cat>
          <c:val>
            <c:numRef>
              <c:f>Grafer!$D$643:$D$648</c:f>
              <c:numCache>
                <c:formatCode>#,##0</c:formatCode>
                <c:ptCount val="6"/>
                <c:pt idx="0">
                  <c:v>18.755078399999999</c:v>
                </c:pt>
                <c:pt idx="1">
                  <c:v>5.8416998399999995</c:v>
                </c:pt>
                <c:pt idx="2">
                  <c:v>44.493400000000001</c:v>
                </c:pt>
                <c:pt idx="3">
                  <c:v>243.40470786900002</c:v>
                </c:pt>
                <c:pt idx="5">
                  <c:v>0</c:v>
                </c:pt>
              </c:numCache>
            </c:numRef>
          </c:val>
          <c:extLst xmlns:c16r2="http://schemas.microsoft.com/office/drawing/2015/06/char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460621048"/>
        <c:axId val="460615952"/>
      </c:barChart>
      <c:catAx>
        <c:axId val="460621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0615952"/>
        <c:crosses val="autoZero"/>
        <c:auto val="1"/>
        <c:lblAlgn val="ctr"/>
        <c:lblOffset val="100"/>
        <c:noMultiLvlLbl val="0"/>
      </c:catAx>
      <c:valAx>
        <c:axId val="460615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062104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99" l="0.70000000000000062" r="0.70000000000000062" t="0.7500000000000119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6777637085187"/>
          <c:y val="4.8758435897136708E-2"/>
          <c:w val="0.55357579485996056"/>
          <c:h val="0.88874159115313645"/>
        </c:manualLayout>
      </c:layout>
      <c:pieChart>
        <c:varyColors val="1"/>
        <c:ser>
          <c:idx val="0"/>
          <c:order val="0"/>
          <c:tx>
            <c:strRef>
              <c:f>Grafer!$B$746</c:f>
              <c:strCache>
                <c:ptCount val="1"/>
                <c:pt idx="0">
                  <c:v>I alt</c:v>
                </c:pt>
              </c:strCache>
            </c:strRef>
          </c:tx>
          <c:dLbls>
            <c:spPr>
              <a:noFill/>
              <a:ln>
                <a:noFill/>
              </a:ln>
              <a:effectLst/>
            </c:spPr>
            <c:txPr>
              <a:bodyPr/>
              <a:lstStyle/>
              <a:p>
                <a:pPr>
                  <a:defRPr b="1"/>
                </a:pPr>
                <a:endParaRPr lang="da-DK"/>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Grafer!$C$731:$K$731</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Grafer!$C$746:$K$746</c:f>
              <c:numCache>
                <c:formatCode>#,##0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E1C7-4A7E-81CF-C8BC0C167D35}"/>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a-DK"/>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3958333333341"/>
          <c:y val="6.5707070707070714E-2"/>
          <c:w val="0.48125000000000007"/>
          <c:h val="0.87500000000000289"/>
        </c:manualLayout>
      </c:layout>
      <c:pieChart>
        <c:varyColors val="1"/>
        <c:ser>
          <c:idx val="0"/>
          <c:order val="0"/>
          <c:tx>
            <c:strRef>
              <c:f>Grafer!$L$731</c:f>
              <c:strCache>
                <c:ptCount val="1"/>
                <c:pt idx="0">
                  <c:v>I alt</c:v>
                </c:pt>
              </c:strCache>
            </c:strRef>
          </c:tx>
          <c:dPt>
            <c:idx val="0"/>
            <c:bubble3D val="0"/>
            <c:spPr>
              <a:solidFill>
                <a:srgbClr val="9E413E"/>
              </a:solidFill>
            </c:spPr>
            <c:extLst xmlns:c16r2="http://schemas.microsoft.com/office/drawing/2015/06/chart">
              <c:ext xmlns:c16="http://schemas.microsoft.com/office/drawing/2014/chart" uri="{C3380CC4-5D6E-409C-BE32-E72D297353CC}">
                <c16:uniqueId val="{00000001-5D3B-4877-A77D-E1924104D39F}"/>
              </c:ext>
            </c:extLst>
          </c:dPt>
          <c:dPt>
            <c:idx val="1"/>
            <c:bubble3D val="0"/>
            <c:spPr>
              <a:solidFill>
                <a:srgbClr val="7F9A48"/>
              </a:solidFill>
            </c:spPr>
            <c:extLst xmlns:c16r2="http://schemas.microsoft.com/office/drawing/2015/06/chart">
              <c:ext xmlns:c16="http://schemas.microsoft.com/office/drawing/2014/chart" uri="{C3380CC4-5D6E-409C-BE32-E72D297353CC}">
                <c16:uniqueId val="{00000003-5D3B-4877-A77D-E1924104D39F}"/>
              </c:ext>
            </c:extLst>
          </c:dPt>
          <c:dPt>
            <c:idx val="2"/>
            <c:bubble3D val="0"/>
            <c:spPr>
              <a:solidFill>
                <a:srgbClr val="695185"/>
              </a:solidFill>
            </c:spPr>
            <c:extLst xmlns:c16r2="http://schemas.microsoft.com/office/drawing/2015/06/chart">
              <c:ext xmlns:c16="http://schemas.microsoft.com/office/drawing/2014/chart" uri="{C3380CC4-5D6E-409C-BE32-E72D297353CC}">
                <c16:uniqueId val="{00000005-5D3B-4877-A77D-E1924104D39F}"/>
              </c:ext>
            </c:extLst>
          </c:dPt>
          <c:dPt>
            <c:idx val="3"/>
            <c:bubble3D val="0"/>
            <c:spPr>
              <a:solidFill>
                <a:srgbClr val="3C8DA3"/>
              </a:solidFill>
            </c:spPr>
            <c:extLst xmlns:c16r2="http://schemas.microsoft.com/office/drawing/2015/06/chart">
              <c:ext xmlns:c16="http://schemas.microsoft.com/office/drawing/2014/chart" uri="{C3380CC4-5D6E-409C-BE32-E72D297353CC}">
                <c16:uniqueId val="{00000007-5D3B-4877-A77D-E1924104D39F}"/>
              </c:ext>
            </c:extLst>
          </c:dPt>
          <c:dPt>
            <c:idx val="4"/>
            <c:bubble3D val="0"/>
            <c:spPr>
              <a:solidFill>
                <a:srgbClr val="CC7B38"/>
              </a:solidFill>
            </c:spPr>
            <c:extLst xmlns:c16r2="http://schemas.microsoft.com/office/drawing/2015/06/chart">
              <c:ext xmlns:c16="http://schemas.microsoft.com/office/drawing/2014/chart" uri="{C3380CC4-5D6E-409C-BE32-E72D297353CC}">
                <c16:uniqueId val="{00000009-5D3B-4877-A77D-E1924104D39F}"/>
              </c:ext>
            </c:extLst>
          </c:dPt>
          <c:dPt>
            <c:idx val="5"/>
            <c:bubble3D val="0"/>
            <c:spPr>
              <a:solidFill>
                <a:srgbClr val="4F81BD"/>
              </a:solidFill>
            </c:spPr>
            <c:extLst xmlns:c16r2="http://schemas.microsoft.com/office/drawing/2015/06/chart">
              <c:ext xmlns:c16="http://schemas.microsoft.com/office/drawing/2014/chart" uri="{C3380CC4-5D6E-409C-BE32-E72D297353CC}">
                <c16:uniqueId val="{0000000B-5D3B-4877-A77D-E1924104D39F}"/>
              </c:ext>
            </c:extLst>
          </c:dPt>
          <c:dPt>
            <c:idx val="6"/>
            <c:bubble3D val="0"/>
            <c:spPr>
              <a:solidFill>
                <a:srgbClr val="D9AAA9"/>
              </a:solidFill>
            </c:spPr>
            <c:extLst xmlns:c16r2="http://schemas.microsoft.com/office/drawing/2015/06/chart">
              <c:ext xmlns:c16="http://schemas.microsoft.com/office/drawing/2014/chart" uri="{C3380CC4-5D6E-409C-BE32-E72D297353CC}">
                <c16:uniqueId val="{0000000D-5D3B-4877-A77D-E1924104D39F}"/>
              </c:ext>
            </c:extLst>
          </c:dPt>
          <c:dPt>
            <c:idx val="7"/>
            <c:bubble3D val="0"/>
            <c:spPr>
              <a:solidFill>
                <a:srgbClr val="C0504D"/>
              </a:solidFill>
            </c:spPr>
            <c:extLst xmlns:c16r2="http://schemas.microsoft.com/office/drawing/2015/06/chart">
              <c:ext xmlns:c16="http://schemas.microsoft.com/office/drawing/2014/chart" uri="{C3380CC4-5D6E-409C-BE32-E72D297353CC}">
                <c16:uniqueId val="{0000000F-5D3B-4877-A77D-E1924104D39F}"/>
              </c:ext>
            </c:extLst>
          </c:dPt>
          <c:dPt>
            <c:idx val="8"/>
            <c:bubble3D val="0"/>
            <c:spPr>
              <a:solidFill>
                <a:srgbClr val="9BBB59"/>
              </a:solidFill>
            </c:spPr>
            <c:extLst xmlns:c16r2="http://schemas.microsoft.com/office/drawing/2015/06/chart">
              <c:ext xmlns:c16="http://schemas.microsoft.com/office/drawing/2014/chart" uri="{C3380CC4-5D6E-409C-BE32-E72D297353CC}">
                <c16:uniqueId val="{00000011-5D3B-4877-A77D-E1924104D39F}"/>
              </c:ext>
            </c:extLst>
          </c:dPt>
          <c:dPt>
            <c:idx val="9"/>
            <c:bubble3D val="0"/>
            <c:spPr>
              <a:solidFill>
                <a:srgbClr val="8064A2"/>
              </a:solidFill>
            </c:spPr>
            <c:extLst xmlns:c16r2="http://schemas.microsoft.com/office/drawing/2015/06/chart">
              <c:ext xmlns:c16="http://schemas.microsoft.com/office/drawing/2014/chart" uri="{C3380CC4-5D6E-409C-BE32-E72D297353CC}">
                <c16:uniqueId val="{00000013-5D3B-4877-A77D-E1924104D39F}"/>
              </c:ext>
            </c:extLst>
          </c:dPt>
          <c:dPt>
            <c:idx val="11"/>
            <c:bubble3D val="0"/>
            <c:spPr>
              <a:solidFill>
                <a:schemeClr val="accent5">
                  <a:lumMod val="40000"/>
                  <a:lumOff val="60000"/>
                </a:schemeClr>
              </a:solidFill>
            </c:spPr>
            <c:extLst xmlns:c16r2="http://schemas.microsoft.com/office/drawing/2015/06/chart">
              <c:ext xmlns:c16="http://schemas.microsoft.com/office/drawing/2014/chart" uri="{C3380CC4-5D6E-409C-BE32-E72D297353CC}">
                <c16:uniqueId val="{00000015-5D3B-4877-A77D-E1924104D39F}"/>
              </c:ext>
            </c:extLst>
          </c:dPt>
          <c:dLbls>
            <c:spPr>
              <a:noFill/>
              <a:ln>
                <a:noFill/>
              </a:ln>
              <a:effectLst/>
            </c:spPr>
            <c:txPr>
              <a:bodyPr/>
              <a:lstStyle/>
              <a:p>
                <a:pPr>
                  <a:defRPr b="1"/>
                </a:pPr>
                <a:endParaRPr lang="da-DK"/>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Grafer!$B$732:$B$745</c:f>
              <c:strCache>
                <c:ptCount val="14"/>
                <c:pt idx="0">
                  <c:v>El</c:v>
                </c:pt>
                <c:pt idx="1">
                  <c:v>Kul</c:v>
                </c:pt>
                <c:pt idx="2">
                  <c:v>Naturgas og LPG</c:v>
                </c:pt>
                <c:pt idx="3">
                  <c:v>Fuelolie</c:v>
                </c:pt>
                <c:pt idx="4">
                  <c:v>Brændselsolie/diesel</c:v>
                </c:pt>
                <c:pt idx="5">
                  <c:v>Benzin</c:v>
                </c:pt>
                <c:pt idx="6">
                  <c:v>JP1</c:v>
                </c:pt>
                <c:pt idx="7">
                  <c:v>Affald, ikke bionedbrydeligt</c:v>
                </c:pt>
                <c:pt idx="8">
                  <c:v>Biobrændstof</c:v>
                </c:pt>
                <c:pt idx="9">
                  <c:v>Biomasse</c:v>
                </c:pt>
                <c:pt idx="10">
                  <c:v>Fjernvarme</c:v>
                </c:pt>
                <c:pt idx="11">
                  <c:v>Procesvarme fra KV-produktion</c:v>
                </c:pt>
                <c:pt idx="12">
                  <c:v>Biogas</c:v>
                </c:pt>
                <c:pt idx="13">
                  <c:v>Solenergi og jordvarme</c:v>
                </c:pt>
              </c:strCache>
            </c:strRef>
          </c:cat>
          <c:val>
            <c:numRef>
              <c:f>Grafer!$L$732:$L$745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16-5D3B-4877-A77D-E1924104D39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a-DK"/>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Grafer!$C$911</c:f>
              <c:strCache>
                <c:ptCount val="1"/>
                <c:pt idx="0">
                  <c:v>2018</c:v>
                </c:pt>
              </c:strCache>
            </c:strRef>
          </c:tx>
          <c:spPr>
            <a:solidFill>
              <a:srgbClr val="4BACC6"/>
            </a:solidFill>
          </c:spPr>
          <c:invertIfNegative val="0"/>
          <c:cat>
            <c:strRef>
              <c:f>Grafer!$B$912:$B$920</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Grafer!$C$912:$C$920</c:f>
              <c:numCache>
                <c:formatCode>#,##0</c:formatCode>
                <c:ptCount val="9"/>
                <c:pt idx="0">
                  <c:v>1770.1573696406606</c:v>
                </c:pt>
                <c:pt idx="1">
                  <c:v>303.875</c:v>
                </c:pt>
                <c:pt idx="2">
                  <c:v>116.56</c:v>
                </c:pt>
                <c:pt idx="3">
                  <c:v>294.75</c:v>
                </c:pt>
                <c:pt idx="4">
                  <c:v>235.3</c:v>
                </c:pt>
                <c:pt idx="5">
                  <c:v>57.655000000000001</c:v>
                </c:pt>
                <c:pt idx="6">
                  <c:v>36.288888888888891</c:v>
                </c:pt>
                <c:pt idx="7">
                  <c:v>27</c:v>
                </c:pt>
                <c:pt idx="8">
                  <c:v>9.3000000000000007</c:v>
                </c:pt>
              </c:numCache>
            </c:numRef>
          </c:val>
          <c:extLst xmlns:c16r2="http://schemas.microsoft.com/office/drawing/2015/06/chart">
            <c:ext xmlns:c16="http://schemas.microsoft.com/office/drawing/2014/chart" uri="{C3380CC4-5D6E-409C-BE32-E72D297353CC}">
              <c16:uniqueId val="{00000000-8425-495C-AE1A-C736F301088B}"/>
            </c:ext>
          </c:extLst>
        </c:ser>
        <c:ser>
          <c:idx val="3"/>
          <c:order val="1"/>
          <c:tx>
            <c:strRef>
              <c:f>Grafer!$D$911</c:f>
              <c:strCache>
                <c:ptCount val="1"/>
                <c:pt idx="0">
                  <c:v>BAU2030</c:v>
                </c:pt>
              </c:strCache>
            </c:strRef>
          </c:tx>
          <c:invertIfNegative val="0"/>
          <c:cat>
            <c:strRef>
              <c:f>Grafer!$B$912:$B$920</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Grafer!$D$912:$D$920</c:f>
              <c:numCache>
                <c:formatCode>#,##0</c:formatCode>
                <c:ptCount val="9"/>
                <c:pt idx="0">
                  <c:v>1690.2238269668599</c:v>
                </c:pt>
                <c:pt idx="1">
                  <c:v>233.37599999999998</c:v>
                </c:pt>
                <c:pt idx="2">
                  <c:v>33.569279999999999</c:v>
                </c:pt>
                <c:pt idx="3">
                  <c:v>302.08349999999996</c:v>
                </c:pt>
                <c:pt idx="4">
                  <c:v>225.88800000000001</c:v>
                </c:pt>
                <c:pt idx="5">
                  <c:v>55.348800000000004</c:v>
                </c:pt>
                <c:pt idx="6">
                  <c:v>36.288888888888891</c:v>
                </c:pt>
                <c:pt idx="7">
                  <c:v>274.47000000000003</c:v>
                </c:pt>
                <c:pt idx="8">
                  <c:v>9.3000000000000007</c:v>
                </c:pt>
              </c:numCache>
            </c:numRef>
          </c:val>
          <c:extLst xmlns:c16r2="http://schemas.microsoft.com/office/drawing/2015/06/char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352078152"/>
        <c:axId val="352076584"/>
      </c:barChart>
      <c:catAx>
        <c:axId val="352078152"/>
        <c:scaling>
          <c:orientation val="minMax"/>
        </c:scaling>
        <c:delete val="0"/>
        <c:axPos val="b"/>
        <c:numFmt formatCode="General" sourceLinked="0"/>
        <c:majorTickMark val="out"/>
        <c:minorTickMark val="none"/>
        <c:tickLblPos val="low"/>
        <c:txPr>
          <a:bodyPr rot="-5400000" vert="horz"/>
          <a:lstStyle/>
          <a:p>
            <a:pPr>
              <a:defRPr/>
            </a:pPr>
            <a:endParaRPr lang="da-DK"/>
          </a:p>
        </c:txPr>
        <c:crossAx val="352076584"/>
        <c:crosses val="autoZero"/>
        <c:auto val="1"/>
        <c:lblAlgn val="ctr"/>
        <c:lblOffset val="100"/>
        <c:noMultiLvlLbl val="0"/>
      </c:catAx>
      <c:valAx>
        <c:axId val="35207658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352078152"/>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Grafer!$B$912</c:f>
              <c:strCache>
                <c:ptCount val="1"/>
                <c:pt idx="0">
                  <c:v>Fjernvarme</c:v>
                </c:pt>
              </c:strCache>
            </c:strRef>
          </c:tx>
          <c:spPr>
            <a:solidFill>
              <a:srgbClr val="4BACC6"/>
            </a:solidFill>
          </c:spPr>
          <c:invertIfNegative val="0"/>
          <c:cat>
            <c:strRef>
              <c:f>Grafer!$C$911:$E$911</c:f>
              <c:strCache>
                <c:ptCount val="3"/>
                <c:pt idx="0">
                  <c:v>2018</c:v>
                </c:pt>
                <c:pt idx="1">
                  <c:v>BAU2030</c:v>
                </c:pt>
                <c:pt idx="2">
                  <c:v>BAU2050</c:v>
                </c:pt>
              </c:strCache>
            </c:strRef>
          </c:cat>
          <c:val>
            <c:numRef>
              <c:f>Grafer!$C$912:$E$912</c:f>
              <c:numCache>
                <c:formatCode>#,##0</c:formatCode>
                <c:ptCount val="3"/>
                <c:pt idx="0">
                  <c:v>1770.1573696406606</c:v>
                </c:pt>
                <c:pt idx="1">
                  <c:v>1690.2238269668599</c:v>
                </c:pt>
                <c:pt idx="2">
                  <c:v>1588.7534030977215</c:v>
                </c:pt>
              </c:numCache>
            </c:numRef>
          </c:val>
          <c:extLst xmlns:c16r2="http://schemas.microsoft.com/office/drawing/2015/06/chart">
            <c:ext xmlns:c16="http://schemas.microsoft.com/office/drawing/2014/chart" uri="{C3380CC4-5D6E-409C-BE32-E72D297353CC}">
              <c16:uniqueId val="{00000000-46A1-408E-A8D5-3292EF40FB60}"/>
            </c:ext>
          </c:extLst>
        </c:ser>
        <c:ser>
          <c:idx val="1"/>
          <c:order val="1"/>
          <c:tx>
            <c:strRef>
              <c:f>Grafer!$B$913</c:f>
              <c:strCache>
                <c:ptCount val="1"/>
                <c:pt idx="0">
                  <c:v>Naturgasfyr</c:v>
                </c:pt>
              </c:strCache>
            </c:strRef>
          </c:tx>
          <c:spPr>
            <a:solidFill>
              <a:srgbClr val="695185"/>
            </a:solidFill>
          </c:spPr>
          <c:invertIfNegative val="0"/>
          <c:cat>
            <c:strRef>
              <c:f>Grafer!$C$911:$E$911</c:f>
              <c:strCache>
                <c:ptCount val="3"/>
                <c:pt idx="0">
                  <c:v>2018</c:v>
                </c:pt>
                <c:pt idx="1">
                  <c:v>BAU2030</c:v>
                </c:pt>
                <c:pt idx="2">
                  <c:v>BAU2050</c:v>
                </c:pt>
              </c:strCache>
            </c:strRef>
          </c:cat>
          <c:val>
            <c:numRef>
              <c:f>Grafer!$C$913:$E$913</c:f>
              <c:numCache>
                <c:formatCode>#,##0</c:formatCode>
                <c:ptCount val="3"/>
                <c:pt idx="0">
                  <c:v>303.875</c:v>
                </c:pt>
                <c:pt idx="1">
                  <c:v>233.37599999999998</c:v>
                </c:pt>
                <c:pt idx="2">
                  <c:v>233.37599999999998</c:v>
                </c:pt>
              </c:numCache>
            </c:numRef>
          </c:val>
          <c:extLst xmlns:c16r2="http://schemas.microsoft.com/office/drawing/2015/06/chart">
            <c:ext xmlns:c16="http://schemas.microsoft.com/office/drawing/2014/chart" uri="{C3380CC4-5D6E-409C-BE32-E72D297353CC}">
              <c16:uniqueId val="{00000001-46A1-408E-A8D5-3292EF40FB60}"/>
            </c:ext>
          </c:extLst>
        </c:ser>
        <c:ser>
          <c:idx val="2"/>
          <c:order val="2"/>
          <c:tx>
            <c:strRef>
              <c:f>Grafer!$B$914</c:f>
              <c:strCache>
                <c:ptCount val="1"/>
                <c:pt idx="0">
                  <c:v>Oliefyr</c:v>
                </c:pt>
              </c:strCache>
            </c:strRef>
          </c:tx>
          <c:spPr>
            <a:solidFill>
              <a:srgbClr val="CC7B38"/>
            </a:solidFill>
          </c:spPr>
          <c:invertIfNegative val="0"/>
          <c:cat>
            <c:strRef>
              <c:f>Grafer!$C$911:$E$911</c:f>
              <c:strCache>
                <c:ptCount val="3"/>
                <c:pt idx="0">
                  <c:v>2018</c:v>
                </c:pt>
                <c:pt idx="1">
                  <c:v>BAU2030</c:v>
                </c:pt>
                <c:pt idx="2">
                  <c:v>BAU2050</c:v>
                </c:pt>
              </c:strCache>
            </c:strRef>
          </c:cat>
          <c:val>
            <c:numRef>
              <c:f>Grafer!$C$914:$E$914</c:f>
              <c:numCache>
                <c:formatCode>#,##0</c:formatCode>
                <c:ptCount val="3"/>
                <c:pt idx="0">
                  <c:v>116.56</c:v>
                </c:pt>
                <c:pt idx="1">
                  <c:v>33.569279999999999</c:v>
                </c:pt>
                <c:pt idx="2">
                  <c:v>0</c:v>
                </c:pt>
              </c:numCache>
            </c:numRef>
          </c:val>
          <c:extLst xmlns:c16r2="http://schemas.microsoft.com/office/drawing/2015/06/chart">
            <c:ext xmlns:c16="http://schemas.microsoft.com/office/drawing/2014/chart" uri="{C3380CC4-5D6E-409C-BE32-E72D297353CC}">
              <c16:uniqueId val="{00000002-46A1-408E-A8D5-3292EF40FB60}"/>
            </c:ext>
          </c:extLst>
        </c:ser>
        <c:ser>
          <c:idx val="3"/>
          <c:order val="3"/>
          <c:tx>
            <c:strRef>
              <c:f>Grafer!$B$915</c:f>
              <c:strCache>
                <c:ptCount val="1"/>
                <c:pt idx="0">
                  <c:v>Træpille- og stokerfyr</c:v>
                </c:pt>
              </c:strCache>
            </c:strRef>
          </c:tx>
          <c:spPr>
            <a:solidFill>
              <a:srgbClr val="9BBB59"/>
            </a:solidFill>
          </c:spPr>
          <c:invertIfNegative val="0"/>
          <c:cat>
            <c:strRef>
              <c:f>Grafer!$C$911:$E$911</c:f>
              <c:strCache>
                <c:ptCount val="3"/>
                <c:pt idx="0">
                  <c:v>2018</c:v>
                </c:pt>
                <c:pt idx="1">
                  <c:v>BAU2030</c:v>
                </c:pt>
                <c:pt idx="2">
                  <c:v>BAU2050</c:v>
                </c:pt>
              </c:strCache>
            </c:strRef>
          </c:cat>
          <c:val>
            <c:numRef>
              <c:f>Grafer!$C$915:$E$915</c:f>
              <c:numCache>
                <c:formatCode>#,##0</c:formatCode>
                <c:ptCount val="3"/>
                <c:pt idx="0">
                  <c:v>294.75</c:v>
                </c:pt>
                <c:pt idx="1">
                  <c:v>302.08349999999996</c:v>
                </c:pt>
                <c:pt idx="2">
                  <c:v>292.57499999999999</c:v>
                </c:pt>
              </c:numCache>
            </c:numRef>
          </c:val>
          <c:extLst xmlns:c16r2="http://schemas.microsoft.com/office/drawing/2015/06/chart">
            <c:ext xmlns:c16="http://schemas.microsoft.com/office/drawing/2014/chart" uri="{C3380CC4-5D6E-409C-BE32-E72D297353CC}">
              <c16:uniqueId val="{00000003-46A1-408E-A8D5-3292EF40FB60}"/>
            </c:ext>
          </c:extLst>
        </c:ser>
        <c:ser>
          <c:idx val="4"/>
          <c:order val="4"/>
          <c:tx>
            <c:strRef>
              <c:f>Grafer!$B$916</c:f>
              <c:strCache>
                <c:ptCount val="1"/>
                <c:pt idx="0">
                  <c:v>Brændekedel og -ovn</c:v>
                </c:pt>
              </c:strCache>
            </c:strRef>
          </c:tx>
          <c:spPr>
            <a:solidFill>
              <a:srgbClr val="C6D6AC"/>
            </a:solidFill>
          </c:spPr>
          <c:invertIfNegative val="0"/>
          <c:cat>
            <c:strRef>
              <c:f>Grafer!$C$911:$E$911</c:f>
              <c:strCache>
                <c:ptCount val="3"/>
                <c:pt idx="0">
                  <c:v>2018</c:v>
                </c:pt>
                <c:pt idx="1">
                  <c:v>BAU2030</c:v>
                </c:pt>
                <c:pt idx="2">
                  <c:v>BAU2050</c:v>
                </c:pt>
              </c:strCache>
            </c:strRef>
          </c:cat>
          <c:val>
            <c:numRef>
              <c:f>Grafer!$C$916:$E$916</c:f>
              <c:numCache>
                <c:formatCode>#,##0</c:formatCode>
                <c:ptCount val="3"/>
                <c:pt idx="0">
                  <c:v>235.3</c:v>
                </c:pt>
                <c:pt idx="1">
                  <c:v>225.88800000000001</c:v>
                </c:pt>
                <c:pt idx="2">
                  <c:v>211.77</c:v>
                </c:pt>
              </c:numCache>
            </c:numRef>
          </c:val>
          <c:extLst xmlns:c16r2="http://schemas.microsoft.com/office/drawing/2015/06/chart">
            <c:ext xmlns:c16="http://schemas.microsoft.com/office/drawing/2014/chart" uri="{C3380CC4-5D6E-409C-BE32-E72D297353CC}">
              <c16:uniqueId val="{00000004-46A1-408E-A8D5-3292EF40FB60}"/>
            </c:ext>
          </c:extLst>
        </c:ser>
        <c:ser>
          <c:idx val="5"/>
          <c:order val="5"/>
          <c:tx>
            <c:strRef>
              <c:f>Grafer!$B$917</c:f>
              <c:strCache>
                <c:ptCount val="1"/>
                <c:pt idx="0">
                  <c:v>Halmfyr</c:v>
                </c:pt>
              </c:strCache>
            </c:strRef>
          </c:tx>
          <c:spPr>
            <a:solidFill>
              <a:srgbClr val="8064A2"/>
            </a:solidFill>
          </c:spPr>
          <c:invertIfNegative val="0"/>
          <c:cat>
            <c:strRef>
              <c:f>Grafer!$C$911:$E$911</c:f>
              <c:strCache>
                <c:ptCount val="3"/>
                <c:pt idx="0">
                  <c:v>2018</c:v>
                </c:pt>
                <c:pt idx="1">
                  <c:v>BAU2030</c:v>
                </c:pt>
                <c:pt idx="2">
                  <c:v>BAU2050</c:v>
                </c:pt>
              </c:strCache>
            </c:strRef>
          </c:cat>
          <c:val>
            <c:numRef>
              <c:f>Grafer!$C$917:$E$917</c:f>
              <c:numCache>
                <c:formatCode>#,##0</c:formatCode>
                <c:ptCount val="3"/>
                <c:pt idx="0">
                  <c:v>57.655000000000001</c:v>
                </c:pt>
                <c:pt idx="1">
                  <c:v>55.348800000000004</c:v>
                </c:pt>
                <c:pt idx="2">
                  <c:v>51.889499999999998</c:v>
                </c:pt>
              </c:numCache>
            </c:numRef>
          </c:val>
          <c:extLst xmlns:c16r2="http://schemas.microsoft.com/office/drawing/2015/06/chart">
            <c:ext xmlns:c16="http://schemas.microsoft.com/office/drawing/2014/chart" uri="{C3380CC4-5D6E-409C-BE32-E72D297353CC}">
              <c16:uniqueId val="{00000005-46A1-408E-A8D5-3292EF40FB60}"/>
            </c:ext>
          </c:extLst>
        </c:ser>
        <c:ser>
          <c:idx val="6"/>
          <c:order val="6"/>
          <c:tx>
            <c:strRef>
              <c:f>Grafer!$B$918</c:f>
              <c:strCache>
                <c:ptCount val="1"/>
                <c:pt idx="0">
                  <c:v>Elvarme</c:v>
                </c:pt>
              </c:strCache>
            </c:strRef>
          </c:tx>
          <c:spPr>
            <a:solidFill>
              <a:srgbClr val="9E413E"/>
            </a:solidFill>
          </c:spPr>
          <c:invertIfNegative val="0"/>
          <c:cat>
            <c:strRef>
              <c:f>Grafer!$C$911:$E$911</c:f>
              <c:strCache>
                <c:ptCount val="3"/>
                <c:pt idx="0">
                  <c:v>2018</c:v>
                </c:pt>
                <c:pt idx="1">
                  <c:v>BAU2030</c:v>
                </c:pt>
                <c:pt idx="2">
                  <c:v>BAU2050</c:v>
                </c:pt>
              </c:strCache>
            </c:strRef>
          </c:cat>
          <c:val>
            <c:numRef>
              <c:f>Grafer!$C$918:$E$918</c:f>
              <c:numCache>
                <c:formatCode>#,##0</c:formatCode>
                <c:ptCount val="3"/>
                <c:pt idx="0">
                  <c:v>36.288888888888891</c:v>
                </c:pt>
                <c:pt idx="1">
                  <c:v>36.288888888888891</c:v>
                </c:pt>
                <c:pt idx="2">
                  <c:v>36.288888888888891</c:v>
                </c:pt>
              </c:numCache>
            </c:numRef>
          </c:val>
          <c:extLst xmlns:c16r2="http://schemas.microsoft.com/office/drawing/2015/06/chart">
            <c:ext xmlns:c16="http://schemas.microsoft.com/office/drawing/2014/chart" uri="{C3380CC4-5D6E-409C-BE32-E72D297353CC}">
              <c16:uniqueId val="{00000006-46A1-408E-A8D5-3292EF40FB60}"/>
            </c:ext>
          </c:extLst>
        </c:ser>
        <c:ser>
          <c:idx val="7"/>
          <c:order val="7"/>
          <c:tx>
            <c:strRef>
              <c:f>Grafer!$B$919</c:f>
              <c:strCache>
                <c:ptCount val="1"/>
                <c:pt idx="0">
                  <c:v>Individuelle varmepumper</c:v>
                </c:pt>
              </c:strCache>
            </c:strRef>
          </c:tx>
          <c:spPr>
            <a:solidFill>
              <a:srgbClr val="AABAD7"/>
            </a:solidFill>
          </c:spPr>
          <c:invertIfNegative val="0"/>
          <c:cat>
            <c:strRef>
              <c:f>Grafer!$C$911:$E$911</c:f>
              <c:strCache>
                <c:ptCount val="3"/>
                <c:pt idx="0">
                  <c:v>2018</c:v>
                </c:pt>
                <c:pt idx="1">
                  <c:v>BAU2030</c:v>
                </c:pt>
                <c:pt idx="2">
                  <c:v>BAU2050</c:v>
                </c:pt>
              </c:strCache>
            </c:strRef>
          </c:cat>
          <c:val>
            <c:numRef>
              <c:f>Grafer!$C$919:$E$919</c:f>
              <c:numCache>
                <c:formatCode>#,##0</c:formatCode>
                <c:ptCount val="3"/>
                <c:pt idx="0">
                  <c:v>27</c:v>
                </c:pt>
                <c:pt idx="1">
                  <c:v>274.47000000000003</c:v>
                </c:pt>
                <c:pt idx="2">
                  <c:v>372</c:v>
                </c:pt>
              </c:numCache>
            </c:numRef>
          </c:val>
          <c:extLst xmlns:c16r2="http://schemas.microsoft.com/office/drawing/2015/06/chart">
            <c:ext xmlns:c16="http://schemas.microsoft.com/office/drawing/2014/chart" uri="{C3380CC4-5D6E-409C-BE32-E72D297353CC}">
              <c16:uniqueId val="{00000007-46A1-408E-A8D5-3292EF40FB60}"/>
            </c:ext>
          </c:extLst>
        </c:ser>
        <c:ser>
          <c:idx val="8"/>
          <c:order val="8"/>
          <c:tx>
            <c:strRef>
              <c:f>Grafer!$B$920</c:f>
              <c:strCache>
                <c:ptCount val="1"/>
                <c:pt idx="0">
                  <c:v>Individuel solvarme</c:v>
                </c:pt>
              </c:strCache>
            </c:strRef>
          </c:tx>
          <c:spPr>
            <a:solidFill>
              <a:srgbClr val="F79646"/>
            </a:solidFill>
          </c:spPr>
          <c:invertIfNegative val="0"/>
          <c:cat>
            <c:strRef>
              <c:f>Grafer!$C$911:$E$911</c:f>
              <c:strCache>
                <c:ptCount val="3"/>
                <c:pt idx="0">
                  <c:v>2018</c:v>
                </c:pt>
                <c:pt idx="1">
                  <c:v>BAU2030</c:v>
                </c:pt>
                <c:pt idx="2">
                  <c:v>BAU2050</c:v>
                </c:pt>
              </c:strCache>
            </c:strRef>
          </c:cat>
          <c:val>
            <c:numRef>
              <c:f>Grafer!$C$920:$E$920</c:f>
              <c:numCache>
                <c:formatCode>#,##0</c:formatCode>
                <c:ptCount val="3"/>
                <c:pt idx="0">
                  <c:v>9.3000000000000007</c:v>
                </c:pt>
                <c:pt idx="1">
                  <c:v>9.3000000000000007</c:v>
                </c:pt>
                <c:pt idx="2">
                  <c:v>9.3000000000000007</c:v>
                </c:pt>
              </c:numCache>
            </c:numRef>
          </c:val>
          <c:extLst xmlns:c16r2="http://schemas.microsoft.com/office/drawing/2015/06/char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352077760"/>
        <c:axId val="352079328"/>
      </c:barChart>
      <c:catAx>
        <c:axId val="352077760"/>
        <c:scaling>
          <c:orientation val="minMax"/>
        </c:scaling>
        <c:delete val="0"/>
        <c:axPos val="b"/>
        <c:numFmt formatCode="General" sourceLinked="1"/>
        <c:majorTickMark val="out"/>
        <c:minorTickMark val="none"/>
        <c:tickLblPos val="nextTo"/>
        <c:crossAx val="352079328"/>
        <c:crosses val="autoZero"/>
        <c:auto val="1"/>
        <c:lblAlgn val="ctr"/>
        <c:lblOffset val="100"/>
        <c:noMultiLvlLbl val="0"/>
      </c:catAx>
      <c:valAx>
        <c:axId val="3520793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35207776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dPt>
            <c:idx val="0"/>
            <c:bubble3D val="0"/>
            <c:spPr>
              <a:solidFill>
                <a:srgbClr val="4BACC6"/>
              </a:solidFill>
            </c:spPr>
            <c:extLst xmlns:c16r2="http://schemas.microsoft.com/office/drawing/2015/06/chart">
              <c:ext xmlns:c16="http://schemas.microsoft.com/office/drawing/2014/chart" uri="{C3380CC4-5D6E-409C-BE32-E72D297353CC}">
                <c16:uniqueId val="{00000001-9653-4977-B1BF-B08498D62900}"/>
              </c:ext>
            </c:extLst>
          </c:dPt>
          <c:dPt>
            <c:idx val="1"/>
            <c:bubble3D val="0"/>
            <c:spPr>
              <a:solidFill>
                <a:srgbClr val="695185"/>
              </a:solidFill>
            </c:spPr>
            <c:extLst xmlns:c16r2="http://schemas.microsoft.com/office/drawing/2015/06/chart">
              <c:ext xmlns:c16="http://schemas.microsoft.com/office/drawing/2014/chart" uri="{C3380CC4-5D6E-409C-BE32-E72D297353CC}">
                <c16:uniqueId val="{00000003-9653-4977-B1BF-B08498D62900}"/>
              </c:ext>
            </c:extLst>
          </c:dPt>
          <c:dPt>
            <c:idx val="2"/>
            <c:bubble3D val="0"/>
            <c:spPr>
              <a:solidFill>
                <a:srgbClr val="CC7B38"/>
              </a:solidFill>
            </c:spPr>
            <c:extLst xmlns:c16r2="http://schemas.microsoft.com/office/drawing/2015/06/chart">
              <c:ext xmlns:c16="http://schemas.microsoft.com/office/drawing/2014/chart" uri="{C3380CC4-5D6E-409C-BE32-E72D297353CC}">
                <c16:uniqueId val="{00000005-9653-4977-B1BF-B08498D62900}"/>
              </c:ext>
            </c:extLst>
          </c:dPt>
          <c:dPt>
            <c:idx val="3"/>
            <c:bubble3D val="0"/>
            <c:spPr>
              <a:solidFill>
                <a:srgbClr val="9BBB59"/>
              </a:solidFill>
            </c:spPr>
            <c:extLst xmlns:c16r2="http://schemas.microsoft.com/office/drawing/2015/06/chart">
              <c:ext xmlns:c16="http://schemas.microsoft.com/office/drawing/2014/chart" uri="{C3380CC4-5D6E-409C-BE32-E72D297353CC}">
                <c16:uniqueId val="{00000007-9653-4977-B1BF-B08498D62900}"/>
              </c:ext>
            </c:extLst>
          </c:dPt>
          <c:dPt>
            <c:idx val="4"/>
            <c:bubble3D val="0"/>
            <c:spPr>
              <a:solidFill>
                <a:srgbClr val="C6D6AC"/>
              </a:solidFill>
            </c:spPr>
            <c:extLst xmlns:c16r2="http://schemas.microsoft.com/office/drawing/2015/06/chart">
              <c:ext xmlns:c16="http://schemas.microsoft.com/office/drawing/2014/chart" uri="{C3380CC4-5D6E-409C-BE32-E72D297353CC}">
                <c16:uniqueId val="{00000009-9653-4977-B1BF-B08498D62900}"/>
              </c:ext>
            </c:extLst>
          </c:dPt>
          <c:dPt>
            <c:idx val="5"/>
            <c:bubble3D val="0"/>
            <c:spPr>
              <a:solidFill>
                <a:srgbClr val="8064A2"/>
              </a:solidFill>
            </c:spPr>
            <c:extLst xmlns:c16r2="http://schemas.microsoft.com/office/drawing/2015/06/chart">
              <c:ext xmlns:c16="http://schemas.microsoft.com/office/drawing/2014/chart" uri="{C3380CC4-5D6E-409C-BE32-E72D297353CC}">
                <c16:uniqueId val="{0000000B-9653-4977-B1BF-B08498D62900}"/>
              </c:ext>
            </c:extLst>
          </c:dPt>
          <c:dPt>
            <c:idx val="6"/>
            <c:bubble3D val="0"/>
            <c:spPr>
              <a:solidFill>
                <a:srgbClr val="9E413E"/>
              </a:solidFill>
            </c:spPr>
            <c:extLst xmlns:c16r2="http://schemas.microsoft.com/office/drawing/2015/06/chart">
              <c:ext xmlns:c16="http://schemas.microsoft.com/office/drawing/2014/chart" uri="{C3380CC4-5D6E-409C-BE32-E72D297353CC}">
                <c16:uniqueId val="{0000000D-9653-4977-B1BF-B08498D62900}"/>
              </c:ext>
            </c:extLst>
          </c:dPt>
          <c:dPt>
            <c:idx val="7"/>
            <c:bubble3D val="0"/>
            <c:spPr>
              <a:solidFill>
                <a:srgbClr val="AABAD7"/>
              </a:solidFill>
            </c:spPr>
            <c:extLst xmlns:c16r2="http://schemas.microsoft.com/office/drawing/2015/06/chart">
              <c:ext xmlns:c16="http://schemas.microsoft.com/office/drawing/2014/chart" uri="{C3380CC4-5D6E-409C-BE32-E72D297353CC}">
                <c16:uniqueId val="{0000000F-9653-4977-B1BF-B08498D62900}"/>
              </c:ext>
            </c:extLst>
          </c:dPt>
          <c:dPt>
            <c:idx val="8"/>
            <c:bubble3D val="0"/>
            <c:spPr>
              <a:solidFill>
                <a:srgbClr val="F79646"/>
              </a:solidFill>
            </c:spPr>
            <c:extLst xmlns:c16r2="http://schemas.microsoft.com/office/drawing/2015/06/char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da-DK"/>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Grafer!$B$912:$B$920</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Grafer!$C$911:$C$920</c:f>
              <c:numCache>
                <c:formatCode>#,##0</c:formatCode>
                <c:ptCount val="10"/>
                <c:pt idx="0" formatCode="General">
                  <c:v>2018</c:v>
                </c:pt>
                <c:pt idx="1">
                  <c:v>1770.1573696406606</c:v>
                </c:pt>
                <c:pt idx="2">
                  <c:v>303.875</c:v>
                </c:pt>
                <c:pt idx="3">
                  <c:v>116.56</c:v>
                </c:pt>
                <c:pt idx="4">
                  <c:v>294.75</c:v>
                </c:pt>
                <c:pt idx="5">
                  <c:v>235.3</c:v>
                </c:pt>
                <c:pt idx="6">
                  <c:v>57.655000000000001</c:v>
                </c:pt>
                <c:pt idx="7">
                  <c:v>36.288888888888891</c:v>
                </c:pt>
                <c:pt idx="8">
                  <c:v>27</c:v>
                </c:pt>
                <c:pt idx="9">
                  <c:v>9.3000000000000007</c:v>
                </c:pt>
              </c:numCache>
            </c:numRef>
          </c:val>
          <c:extLst xmlns:c16r2="http://schemas.microsoft.com/office/drawing/2015/06/char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da-DK"/>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da-DK"/>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Grafer!$C$60:$E$60</c:f>
              <c:strCache>
                <c:ptCount val="3"/>
                <c:pt idx="0">
                  <c:v>2018</c:v>
                </c:pt>
                <c:pt idx="1">
                  <c:v>BAU2030</c:v>
                </c:pt>
                <c:pt idx="2">
                  <c:v>BAU2050</c:v>
                </c:pt>
              </c:strCache>
            </c:strRef>
          </c:cat>
          <c:val>
            <c:numRef>
              <c:f>Grafer!$C$62:$E$62</c:f>
              <c:numCache>
                <c:formatCode>_(* #,##0.0_);_(* \(#,##0.0\);_(* "-"??_);_(@_)</c:formatCode>
                <c:ptCount val="3"/>
                <c:pt idx="0">
                  <c:v>49.936403140062268</c:v>
                </c:pt>
                <c:pt idx="1">
                  <c:v>63.063397015492924</c:v>
                </c:pt>
                <c:pt idx="2">
                  <c:v>0</c:v>
                </c:pt>
              </c:numCache>
            </c:numRef>
          </c:val>
          <c:extLst xmlns:c16r2="http://schemas.microsoft.com/office/drawing/2015/06/char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50"/>
        <c:overlap val="100"/>
        <c:axId val="352077368"/>
        <c:axId val="352078936"/>
      </c:barChart>
      <c:catAx>
        <c:axId val="3520773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078936"/>
        <c:crosses val="autoZero"/>
        <c:auto val="1"/>
        <c:lblAlgn val="ctr"/>
        <c:lblOffset val="100"/>
        <c:noMultiLvlLbl val="0"/>
      </c:catAx>
      <c:valAx>
        <c:axId val="35207893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352077368"/>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44" l="0.70000000000000062" r="0.70000000000000062" t="0.750000000000011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Grafer!$B$1019</c:f>
              <c:strCache>
                <c:ptCount val="1"/>
                <c:pt idx="0">
                  <c:v>Elforbrug</c:v>
                </c:pt>
              </c:strCache>
            </c:strRef>
          </c:tx>
          <c:invertIfNegative val="0"/>
          <c:cat>
            <c:strRef>
              <c:f>Grafer!$C$1018:$D$1018</c:f>
              <c:strCache>
                <c:ptCount val="2"/>
                <c:pt idx="0">
                  <c:v>Produktion</c:v>
                </c:pt>
                <c:pt idx="1">
                  <c:v>Forbrug</c:v>
                </c:pt>
              </c:strCache>
            </c:strRef>
          </c:cat>
          <c:val>
            <c:numRef>
              <c:f>Grafer!$C$1019:$D$1019</c:f>
              <c:numCache>
                <c:formatCode>#,##0</c:formatCode>
                <c:ptCount val="2"/>
                <c:pt idx="1">
                  <c:v>0</c:v>
                </c:pt>
              </c:numCache>
            </c:numRef>
          </c:val>
          <c:extLst xmlns:c16r2="http://schemas.microsoft.com/office/drawing/2015/06/chart">
            <c:ext xmlns:c16="http://schemas.microsoft.com/office/drawing/2014/chart" uri="{C3380CC4-5D6E-409C-BE32-E72D297353CC}">
              <c16:uniqueId val="{00000000-CD06-464A-AAAA-BCAE1B5ED6D2}"/>
            </c:ext>
          </c:extLst>
        </c:ser>
        <c:ser>
          <c:idx val="2"/>
          <c:order val="1"/>
          <c:tx>
            <c:strRef>
              <c:f>Grafer!$B$1020</c:f>
              <c:strCache>
                <c:ptCount val="1"/>
                <c:pt idx="0">
                  <c:v>Nettab</c:v>
                </c:pt>
              </c:strCache>
            </c:strRef>
          </c:tx>
          <c:invertIfNegative val="0"/>
          <c:cat>
            <c:strRef>
              <c:f>Grafer!$C$1018:$D$1018</c:f>
              <c:strCache>
                <c:ptCount val="2"/>
                <c:pt idx="0">
                  <c:v>Produktion</c:v>
                </c:pt>
                <c:pt idx="1">
                  <c:v>Forbrug</c:v>
                </c:pt>
              </c:strCache>
            </c:strRef>
          </c:cat>
          <c:val>
            <c:numRef>
              <c:f>Grafer!$C$1020:$D$1020</c:f>
              <c:numCache>
                <c:formatCode>#,##0</c:formatCode>
                <c:ptCount val="2"/>
                <c:pt idx="1">
                  <c:v>0</c:v>
                </c:pt>
              </c:numCache>
            </c:numRef>
          </c:val>
          <c:extLst xmlns:c16r2="http://schemas.microsoft.com/office/drawing/2015/06/chart">
            <c:ext xmlns:c16="http://schemas.microsoft.com/office/drawing/2014/chart" uri="{C3380CC4-5D6E-409C-BE32-E72D297353CC}">
              <c16:uniqueId val="{00000001-CD06-464A-AAAA-BCAE1B5ED6D2}"/>
            </c:ext>
          </c:extLst>
        </c:ser>
        <c:ser>
          <c:idx val="3"/>
          <c:order val="2"/>
          <c:tx>
            <c:strRef>
              <c:f>Grafer!$B$1021</c:f>
              <c:strCache>
                <c:ptCount val="1"/>
                <c:pt idx="0">
                  <c:v>Elforbrug til fjernvarmeprod.</c:v>
                </c:pt>
              </c:strCache>
            </c:strRef>
          </c:tx>
          <c:invertIfNegative val="0"/>
          <c:cat>
            <c:strRef>
              <c:f>Grafer!$C$1018:$D$1018</c:f>
              <c:strCache>
                <c:ptCount val="2"/>
                <c:pt idx="0">
                  <c:v>Produktion</c:v>
                </c:pt>
                <c:pt idx="1">
                  <c:v>Forbrug</c:v>
                </c:pt>
              </c:strCache>
            </c:strRef>
          </c:cat>
          <c:val>
            <c:numRef>
              <c:f>Grafer!$C$1021:$D$1021</c:f>
              <c:numCache>
                <c:formatCode>#,##0</c:formatCode>
                <c:ptCount val="2"/>
                <c:pt idx="1">
                  <c:v>0</c:v>
                </c:pt>
              </c:numCache>
            </c:numRef>
          </c:val>
          <c:extLst xmlns:c16r2="http://schemas.microsoft.com/office/drawing/2015/06/chart">
            <c:ext xmlns:c16="http://schemas.microsoft.com/office/drawing/2014/chart" uri="{C3380CC4-5D6E-409C-BE32-E72D297353CC}">
              <c16:uniqueId val="{00000002-CD06-464A-AAAA-BCAE1B5ED6D2}"/>
            </c:ext>
          </c:extLst>
        </c:ser>
        <c:ser>
          <c:idx val="8"/>
          <c:order val="3"/>
          <c:tx>
            <c:strRef>
              <c:f>Grafer!$B$1022</c:f>
              <c:strCache>
                <c:ptCount val="1"/>
              </c:strCache>
            </c:strRef>
          </c:tx>
          <c:spPr>
            <a:solidFill>
              <a:schemeClr val="bg1"/>
            </a:solidFill>
          </c:spPr>
          <c:invertIfNegative val="0"/>
          <c:cat>
            <c:strRef>
              <c:f>Grafer!$C$1018:$D$1018</c:f>
              <c:strCache>
                <c:ptCount val="2"/>
                <c:pt idx="0">
                  <c:v>Produktion</c:v>
                </c:pt>
                <c:pt idx="1">
                  <c:v>Forbrug</c:v>
                </c:pt>
              </c:strCache>
            </c:strRef>
          </c:cat>
          <c:val>
            <c:numRef>
              <c:f>Grafer!$C$1022:$D$1022</c:f>
              <c:numCache>
                <c:formatCode>#,##0</c:formatCode>
                <c:ptCount val="2"/>
              </c:numCache>
            </c:numRef>
          </c:val>
          <c:extLst xmlns:c16r2="http://schemas.microsoft.com/office/drawing/2015/06/chart">
            <c:ext xmlns:c16="http://schemas.microsoft.com/office/drawing/2014/chart" uri="{C3380CC4-5D6E-409C-BE32-E72D297353CC}">
              <c16:uniqueId val="{00000003-CD06-464A-AAAA-BCAE1B5ED6D2}"/>
            </c:ext>
          </c:extLst>
        </c:ser>
        <c:ser>
          <c:idx val="5"/>
          <c:order val="4"/>
          <c:tx>
            <c:strRef>
              <c:f>Grafer!$B$1023</c:f>
              <c:strCache>
                <c:ptCount val="1"/>
                <c:pt idx="0">
                  <c:v>Kraftvarme</c:v>
                </c:pt>
              </c:strCache>
            </c:strRef>
          </c:tx>
          <c:invertIfNegative val="0"/>
          <c:cat>
            <c:strRef>
              <c:f>Grafer!$C$1018:$D$1018</c:f>
              <c:strCache>
                <c:ptCount val="2"/>
                <c:pt idx="0">
                  <c:v>Produktion</c:v>
                </c:pt>
                <c:pt idx="1">
                  <c:v>Forbrug</c:v>
                </c:pt>
              </c:strCache>
            </c:strRef>
          </c:cat>
          <c:val>
            <c:numRef>
              <c:f>Grafer!$C$1023:$D$1023</c:f>
              <c:numCache>
                <c:formatCode>#,##0</c:formatCode>
                <c:ptCount val="2"/>
                <c:pt idx="0">
                  <c:v>0</c:v>
                </c:pt>
              </c:numCache>
            </c:numRef>
          </c:val>
          <c:extLst xmlns:c16r2="http://schemas.microsoft.com/office/drawing/2015/06/chart">
            <c:ext xmlns:c16="http://schemas.microsoft.com/office/drawing/2014/chart" uri="{C3380CC4-5D6E-409C-BE32-E72D297353CC}">
              <c16:uniqueId val="{00000004-CD06-464A-AAAA-BCAE1B5ED6D2}"/>
            </c:ext>
          </c:extLst>
        </c:ser>
        <c:ser>
          <c:idx val="1"/>
          <c:order val="5"/>
          <c:tx>
            <c:strRef>
              <c:f>Grafer!$B$1024</c:f>
              <c:strCache>
                <c:ptCount val="1"/>
                <c:pt idx="0">
                  <c:v>Vindkraft, land</c:v>
                </c:pt>
              </c:strCache>
            </c:strRef>
          </c:tx>
          <c:invertIfNegative val="0"/>
          <c:cat>
            <c:strRef>
              <c:f>Grafer!$C$1018:$D$1018</c:f>
              <c:strCache>
                <c:ptCount val="2"/>
                <c:pt idx="0">
                  <c:v>Produktion</c:v>
                </c:pt>
                <c:pt idx="1">
                  <c:v>Forbrug</c:v>
                </c:pt>
              </c:strCache>
            </c:strRef>
          </c:cat>
          <c:val>
            <c:numRef>
              <c:f>Grafer!$C$1024:$D$1024</c:f>
              <c:numCache>
                <c:formatCode>#,##0</c:formatCode>
                <c:ptCount val="2"/>
                <c:pt idx="0">
                  <c:v>0</c:v>
                </c:pt>
              </c:numCache>
            </c:numRef>
          </c:val>
          <c:extLst xmlns:c16r2="http://schemas.microsoft.com/office/drawing/2015/06/chart">
            <c:ext xmlns:c16="http://schemas.microsoft.com/office/drawing/2014/chart" uri="{C3380CC4-5D6E-409C-BE32-E72D297353CC}">
              <c16:uniqueId val="{00000005-CD06-464A-AAAA-BCAE1B5ED6D2}"/>
            </c:ext>
          </c:extLst>
        </c:ser>
        <c:ser>
          <c:idx val="4"/>
          <c:order val="6"/>
          <c:tx>
            <c:strRef>
              <c:f>Grafer!$B$1025</c:f>
              <c:strCache>
                <c:ptCount val="1"/>
                <c:pt idx="0">
                  <c:v>Vindkraft, kystnære</c:v>
                </c:pt>
              </c:strCache>
            </c:strRef>
          </c:tx>
          <c:invertIfNegative val="0"/>
          <c:cat>
            <c:strRef>
              <c:f>Grafer!$C$1018:$D$1018</c:f>
              <c:strCache>
                <c:ptCount val="2"/>
                <c:pt idx="0">
                  <c:v>Produktion</c:v>
                </c:pt>
                <c:pt idx="1">
                  <c:v>Forbrug</c:v>
                </c:pt>
              </c:strCache>
            </c:strRef>
          </c:cat>
          <c:val>
            <c:numRef>
              <c:f>Grafer!$C$1025:$D$1025</c:f>
              <c:numCache>
                <c:formatCode>#,##0</c:formatCode>
                <c:ptCount val="2"/>
                <c:pt idx="0">
                  <c:v>0</c:v>
                </c:pt>
              </c:numCache>
            </c:numRef>
          </c:val>
          <c:extLst xmlns:c16r2="http://schemas.microsoft.com/office/drawing/2015/06/chart">
            <c:ext xmlns:c16="http://schemas.microsoft.com/office/drawing/2014/chart" uri="{C3380CC4-5D6E-409C-BE32-E72D297353CC}">
              <c16:uniqueId val="{00000006-CD06-464A-AAAA-BCAE1B5ED6D2}"/>
            </c:ext>
          </c:extLst>
        </c:ser>
        <c:ser>
          <c:idx val="6"/>
          <c:order val="7"/>
          <c:tx>
            <c:strRef>
              <c:f>Grafer!$B$1026</c:f>
              <c:strCache>
                <c:ptCount val="1"/>
                <c:pt idx="0">
                  <c:v>Solcelleanlæg, vandkraft mv.</c:v>
                </c:pt>
              </c:strCache>
            </c:strRef>
          </c:tx>
          <c:invertIfNegative val="0"/>
          <c:cat>
            <c:strRef>
              <c:f>Grafer!$C$1018:$D$1018</c:f>
              <c:strCache>
                <c:ptCount val="2"/>
                <c:pt idx="0">
                  <c:v>Produktion</c:v>
                </c:pt>
                <c:pt idx="1">
                  <c:v>Forbrug</c:v>
                </c:pt>
              </c:strCache>
            </c:strRef>
          </c:cat>
          <c:val>
            <c:numRef>
              <c:f>Grafer!$C$1026:$D$1026</c:f>
              <c:numCache>
                <c:formatCode>#,##0</c:formatCode>
                <c:ptCount val="2"/>
                <c:pt idx="0">
                  <c:v>0</c:v>
                </c:pt>
              </c:numCache>
            </c:numRef>
          </c:val>
          <c:extLst xmlns:c16r2="http://schemas.microsoft.com/office/drawing/2015/06/chart">
            <c:ext xmlns:c16="http://schemas.microsoft.com/office/drawing/2014/chart" uri="{C3380CC4-5D6E-409C-BE32-E72D297353CC}">
              <c16:uniqueId val="{00000007-CD06-464A-AAAA-BCAE1B5ED6D2}"/>
            </c:ext>
          </c:extLst>
        </c:ser>
        <c:ser>
          <c:idx val="7"/>
          <c:order val="8"/>
          <c:tx>
            <c:strRef>
              <c:f>Grafer!$B$1027</c:f>
              <c:strCache>
                <c:ptCount val="1"/>
                <c:pt idx="0">
                  <c:v>El-import</c:v>
                </c:pt>
              </c:strCache>
            </c:strRef>
          </c:tx>
          <c:spPr>
            <a:solidFill>
              <a:schemeClr val="accent3">
                <a:lumMod val="75000"/>
              </a:schemeClr>
            </a:solidFill>
          </c:spPr>
          <c:invertIfNegative val="0"/>
          <c:cat>
            <c:strRef>
              <c:f>Grafer!$C$1018:$D$1018</c:f>
              <c:strCache>
                <c:ptCount val="2"/>
                <c:pt idx="0">
                  <c:v>Produktion</c:v>
                </c:pt>
                <c:pt idx="1">
                  <c:v>Forbrug</c:v>
                </c:pt>
              </c:strCache>
            </c:strRef>
          </c:cat>
          <c:val>
            <c:numRef>
              <c:f>Grafer!$C$1027:$D$1027</c:f>
              <c:numCache>
                <c:formatCode>#,##0</c:formatCode>
                <c:ptCount val="2"/>
                <c:pt idx="0">
                  <c:v>0</c:v>
                </c:pt>
              </c:numCache>
            </c:numRef>
          </c:val>
          <c:extLst xmlns:c16r2="http://schemas.microsoft.com/office/drawing/2015/06/char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461717560"/>
        <c:axId val="461719912"/>
      </c:barChart>
      <c:catAx>
        <c:axId val="461717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9912"/>
        <c:crosses val="autoZero"/>
        <c:auto val="1"/>
        <c:lblAlgn val="ctr"/>
        <c:lblOffset val="100"/>
        <c:noMultiLvlLbl val="0"/>
      </c:catAx>
      <c:valAx>
        <c:axId val="46171991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756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277" l="0.70000000000000062" r="0.70000000000000062" t="0.75000000000001277"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Grafer!$B$1063</c:f>
              <c:strCache>
                <c:ptCount val="1"/>
                <c:pt idx="0">
                  <c:v>Elforbrug</c:v>
                </c:pt>
              </c:strCache>
            </c:strRef>
          </c:tx>
          <c:invertIfNegative val="0"/>
          <c:cat>
            <c:strRef>
              <c:f>Grafer!$C$1062:$D$1062</c:f>
              <c:strCache>
                <c:ptCount val="2"/>
                <c:pt idx="0">
                  <c:v>Produktion</c:v>
                </c:pt>
                <c:pt idx="1">
                  <c:v>Forbrug</c:v>
                </c:pt>
              </c:strCache>
            </c:strRef>
          </c:cat>
          <c:val>
            <c:numRef>
              <c:f>Grafer!$C$1063:$D$1063</c:f>
              <c:numCache>
                <c:formatCode>#,##0</c:formatCode>
                <c:ptCount val="2"/>
                <c:pt idx="1">
                  <c:v>0</c:v>
                </c:pt>
              </c:numCache>
            </c:numRef>
          </c:val>
          <c:extLst xmlns:c16r2="http://schemas.microsoft.com/office/drawing/2015/06/chart">
            <c:ext xmlns:c16="http://schemas.microsoft.com/office/drawing/2014/chart" uri="{C3380CC4-5D6E-409C-BE32-E72D297353CC}">
              <c16:uniqueId val="{00000000-BB1A-4FE7-9554-033A4362B87A}"/>
            </c:ext>
          </c:extLst>
        </c:ser>
        <c:ser>
          <c:idx val="15"/>
          <c:order val="1"/>
          <c:tx>
            <c:strRef>
              <c:f>Grafer!$B$1064</c:f>
              <c:strCache>
                <c:ptCount val="1"/>
                <c:pt idx="0">
                  <c:v>Nettab</c:v>
                </c:pt>
              </c:strCache>
            </c:strRef>
          </c:tx>
          <c:spPr>
            <a:solidFill>
              <a:schemeClr val="accent3">
                <a:lumMod val="75000"/>
              </a:schemeClr>
            </a:solidFill>
          </c:spPr>
          <c:invertIfNegative val="0"/>
          <c:cat>
            <c:strRef>
              <c:f>Grafer!$C$1062:$D$1062</c:f>
              <c:strCache>
                <c:ptCount val="2"/>
                <c:pt idx="0">
                  <c:v>Produktion</c:v>
                </c:pt>
                <c:pt idx="1">
                  <c:v>Forbrug</c:v>
                </c:pt>
              </c:strCache>
            </c:strRef>
          </c:cat>
          <c:val>
            <c:numRef>
              <c:f>Grafer!$C$1064:$D$1064</c:f>
              <c:numCache>
                <c:formatCode>#,##0</c:formatCode>
                <c:ptCount val="2"/>
                <c:pt idx="1">
                  <c:v>0</c:v>
                </c:pt>
              </c:numCache>
            </c:numRef>
          </c:val>
          <c:extLst xmlns:c16r2="http://schemas.microsoft.com/office/drawing/2015/06/chart">
            <c:ext xmlns:c16="http://schemas.microsoft.com/office/drawing/2014/chart" uri="{C3380CC4-5D6E-409C-BE32-E72D297353CC}">
              <c16:uniqueId val="{00000001-BB1A-4FE7-9554-033A4362B87A}"/>
            </c:ext>
          </c:extLst>
        </c:ser>
        <c:ser>
          <c:idx val="3"/>
          <c:order val="2"/>
          <c:tx>
            <c:strRef>
              <c:f>Grafer!$B$1065</c:f>
              <c:strCache>
                <c:ptCount val="1"/>
                <c:pt idx="0">
                  <c:v>Elforbrug til fjernvarmeprod.</c:v>
                </c:pt>
              </c:strCache>
            </c:strRef>
          </c:tx>
          <c:invertIfNegative val="0"/>
          <c:cat>
            <c:strRef>
              <c:f>Grafer!$C$1062:$D$1062</c:f>
              <c:strCache>
                <c:ptCount val="2"/>
                <c:pt idx="0">
                  <c:v>Produktion</c:v>
                </c:pt>
                <c:pt idx="1">
                  <c:v>Forbrug</c:v>
                </c:pt>
              </c:strCache>
            </c:strRef>
          </c:cat>
          <c:val>
            <c:numRef>
              <c:f>Grafer!$C$1065:$D$1065</c:f>
              <c:numCache>
                <c:formatCode>#,##0</c:formatCode>
                <c:ptCount val="2"/>
                <c:pt idx="1">
                  <c:v>0</c:v>
                </c:pt>
              </c:numCache>
            </c:numRef>
          </c:val>
          <c:extLst xmlns:c16r2="http://schemas.microsoft.com/office/drawing/2015/06/chart">
            <c:ext xmlns:c16="http://schemas.microsoft.com/office/drawing/2014/chart" uri="{C3380CC4-5D6E-409C-BE32-E72D297353CC}">
              <c16:uniqueId val="{00000002-BB1A-4FE7-9554-033A4362B87A}"/>
            </c:ext>
          </c:extLst>
        </c:ser>
        <c:ser>
          <c:idx val="1"/>
          <c:order val="3"/>
          <c:tx>
            <c:strRef>
              <c:f>Grafer!$B$1066</c:f>
              <c:strCache>
                <c:ptCount val="1"/>
              </c:strCache>
            </c:strRef>
          </c:tx>
          <c:spPr>
            <a:solidFill>
              <a:schemeClr val="bg1"/>
            </a:solidFill>
          </c:spPr>
          <c:invertIfNegative val="0"/>
          <c:cat>
            <c:strRef>
              <c:f>Grafer!$C$1062:$D$1062</c:f>
              <c:strCache>
                <c:ptCount val="2"/>
                <c:pt idx="0">
                  <c:v>Produktion</c:v>
                </c:pt>
                <c:pt idx="1">
                  <c:v>Forbrug</c:v>
                </c:pt>
              </c:strCache>
            </c:strRef>
          </c:cat>
          <c:val>
            <c:numRef>
              <c:f>Grafer!$C$1066:$D$1066</c:f>
              <c:numCache>
                <c:formatCode>#,##0</c:formatCode>
                <c:ptCount val="2"/>
              </c:numCache>
            </c:numRef>
          </c:val>
          <c:extLst xmlns:c16r2="http://schemas.microsoft.com/office/drawing/2015/06/chart">
            <c:ext xmlns:c16="http://schemas.microsoft.com/office/drawing/2014/chart" uri="{C3380CC4-5D6E-409C-BE32-E72D297353CC}">
              <c16:uniqueId val="{00000003-BB1A-4FE7-9554-033A4362B87A}"/>
            </c:ext>
          </c:extLst>
        </c:ser>
        <c:ser>
          <c:idx val="5"/>
          <c:order val="4"/>
          <c:tx>
            <c:strRef>
              <c:f>Grafer!$B$1067</c:f>
              <c:strCache>
                <c:ptCount val="1"/>
                <c:pt idx="0">
                  <c:v>Brændselsolie/diesel</c:v>
                </c:pt>
              </c:strCache>
            </c:strRef>
          </c:tx>
          <c:invertIfNegative val="0"/>
          <c:cat>
            <c:strRef>
              <c:f>Grafer!$C$1062:$D$1062</c:f>
              <c:strCache>
                <c:ptCount val="2"/>
                <c:pt idx="0">
                  <c:v>Produktion</c:v>
                </c:pt>
                <c:pt idx="1">
                  <c:v>Forbrug</c:v>
                </c:pt>
              </c:strCache>
            </c:strRef>
          </c:cat>
          <c:val>
            <c:numRef>
              <c:f>Grafer!$C$1067:$D$1067</c:f>
              <c:numCache>
                <c:formatCode>#,##0</c:formatCode>
                <c:ptCount val="2"/>
                <c:pt idx="0">
                  <c:v>0</c:v>
                </c:pt>
              </c:numCache>
            </c:numRef>
          </c:val>
          <c:extLst xmlns:c16r2="http://schemas.microsoft.com/office/drawing/2015/06/chart">
            <c:ext xmlns:c16="http://schemas.microsoft.com/office/drawing/2014/chart" uri="{C3380CC4-5D6E-409C-BE32-E72D297353CC}">
              <c16:uniqueId val="{00000004-BB1A-4FE7-9554-033A4362B87A}"/>
            </c:ext>
          </c:extLst>
        </c:ser>
        <c:ser>
          <c:idx val="2"/>
          <c:order val="5"/>
          <c:tx>
            <c:strRef>
              <c:f>Grafer!$B$1068</c:f>
              <c:strCache>
                <c:ptCount val="1"/>
                <c:pt idx="0">
                  <c:v>Kul</c:v>
                </c:pt>
              </c:strCache>
            </c:strRef>
          </c:tx>
          <c:invertIfNegative val="0"/>
          <c:cat>
            <c:strRef>
              <c:f>Grafer!$C$1062:$D$1062</c:f>
              <c:strCache>
                <c:ptCount val="2"/>
                <c:pt idx="0">
                  <c:v>Produktion</c:v>
                </c:pt>
                <c:pt idx="1">
                  <c:v>Forbrug</c:v>
                </c:pt>
              </c:strCache>
            </c:strRef>
          </c:cat>
          <c:val>
            <c:numRef>
              <c:f>Grafer!$C$1068:$D$1068</c:f>
              <c:numCache>
                <c:formatCode>#,##0</c:formatCode>
                <c:ptCount val="2"/>
                <c:pt idx="0">
                  <c:v>0</c:v>
                </c:pt>
              </c:numCache>
            </c:numRef>
          </c:val>
          <c:extLst xmlns:c16r2="http://schemas.microsoft.com/office/drawing/2015/06/chart">
            <c:ext xmlns:c16="http://schemas.microsoft.com/office/drawing/2014/chart" uri="{C3380CC4-5D6E-409C-BE32-E72D297353CC}">
              <c16:uniqueId val="{00000005-BB1A-4FE7-9554-033A4362B87A}"/>
            </c:ext>
          </c:extLst>
        </c:ser>
        <c:ser>
          <c:idx val="4"/>
          <c:order val="6"/>
          <c:tx>
            <c:strRef>
              <c:f>Grafer!$B$1069</c:f>
              <c:strCache>
                <c:ptCount val="1"/>
                <c:pt idx="0">
                  <c:v>Fuelolie</c:v>
                </c:pt>
              </c:strCache>
            </c:strRef>
          </c:tx>
          <c:invertIfNegative val="0"/>
          <c:cat>
            <c:strRef>
              <c:f>Grafer!$C$1062:$D$1062</c:f>
              <c:strCache>
                <c:ptCount val="2"/>
                <c:pt idx="0">
                  <c:v>Produktion</c:v>
                </c:pt>
                <c:pt idx="1">
                  <c:v>Forbrug</c:v>
                </c:pt>
              </c:strCache>
            </c:strRef>
          </c:cat>
          <c:val>
            <c:numRef>
              <c:f>Grafer!$C$1069:$D$1069</c:f>
              <c:numCache>
                <c:formatCode>#,##0</c:formatCode>
                <c:ptCount val="2"/>
                <c:pt idx="0">
                  <c:v>0</c:v>
                </c:pt>
              </c:numCache>
            </c:numRef>
          </c:val>
          <c:extLst xmlns:c16r2="http://schemas.microsoft.com/office/drawing/2015/06/chart">
            <c:ext xmlns:c16="http://schemas.microsoft.com/office/drawing/2014/chart" uri="{C3380CC4-5D6E-409C-BE32-E72D297353CC}">
              <c16:uniqueId val="{00000006-BB1A-4FE7-9554-033A4362B87A}"/>
            </c:ext>
          </c:extLst>
        </c:ser>
        <c:ser>
          <c:idx val="14"/>
          <c:order val="7"/>
          <c:tx>
            <c:strRef>
              <c:f>Grafer!$B$1070</c:f>
              <c:strCache>
                <c:ptCount val="1"/>
                <c:pt idx="0">
                  <c:v>Naturgas</c:v>
                </c:pt>
              </c:strCache>
            </c:strRef>
          </c:tx>
          <c:spPr>
            <a:solidFill>
              <a:schemeClr val="accent6">
                <a:lumMod val="75000"/>
              </a:schemeClr>
            </a:solidFill>
          </c:spPr>
          <c:invertIfNegative val="0"/>
          <c:cat>
            <c:strRef>
              <c:f>Grafer!$C$1062:$D$1062</c:f>
              <c:strCache>
                <c:ptCount val="2"/>
                <c:pt idx="0">
                  <c:v>Produktion</c:v>
                </c:pt>
                <c:pt idx="1">
                  <c:v>Forbrug</c:v>
                </c:pt>
              </c:strCache>
            </c:strRef>
          </c:cat>
          <c:val>
            <c:numRef>
              <c:f>Grafer!$C$1070:$D$1070</c:f>
              <c:numCache>
                <c:formatCode>#,##0</c:formatCode>
                <c:ptCount val="2"/>
                <c:pt idx="0">
                  <c:v>0</c:v>
                </c:pt>
              </c:numCache>
            </c:numRef>
          </c:val>
          <c:extLst xmlns:c16r2="http://schemas.microsoft.com/office/drawing/2015/06/chart">
            <c:ext xmlns:c16="http://schemas.microsoft.com/office/drawing/2014/chart" uri="{C3380CC4-5D6E-409C-BE32-E72D297353CC}">
              <c16:uniqueId val="{00000007-BB1A-4FE7-9554-033A4362B87A}"/>
            </c:ext>
          </c:extLst>
        </c:ser>
        <c:ser>
          <c:idx val="13"/>
          <c:order val="8"/>
          <c:tx>
            <c:strRef>
              <c:f>Grafer!$B$1071</c:f>
              <c:strCache>
                <c:ptCount val="1"/>
                <c:pt idx="0">
                  <c:v>Affald, ikke bionedbrydeligt</c:v>
                </c:pt>
              </c:strCache>
            </c:strRef>
          </c:tx>
          <c:spPr>
            <a:solidFill>
              <a:schemeClr val="accent4">
                <a:lumMod val="75000"/>
              </a:schemeClr>
            </a:solidFill>
          </c:spPr>
          <c:invertIfNegative val="0"/>
          <c:cat>
            <c:strRef>
              <c:f>Grafer!$C$1062:$D$1062</c:f>
              <c:strCache>
                <c:ptCount val="2"/>
                <c:pt idx="0">
                  <c:v>Produktion</c:v>
                </c:pt>
                <c:pt idx="1">
                  <c:v>Forbrug</c:v>
                </c:pt>
              </c:strCache>
            </c:strRef>
          </c:cat>
          <c:val>
            <c:numRef>
              <c:f>Grafer!$C$1071:$D$1071</c:f>
              <c:numCache>
                <c:formatCode>#,##0</c:formatCode>
                <c:ptCount val="2"/>
                <c:pt idx="0">
                  <c:v>0</c:v>
                </c:pt>
              </c:numCache>
            </c:numRef>
          </c:val>
          <c:extLst xmlns:c16r2="http://schemas.microsoft.com/office/drawing/2015/06/chart">
            <c:ext xmlns:c16="http://schemas.microsoft.com/office/drawing/2014/chart" uri="{C3380CC4-5D6E-409C-BE32-E72D297353CC}">
              <c16:uniqueId val="{00000008-BB1A-4FE7-9554-033A4362B87A}"/>
            </c:ext>
          </c:extLst>
        </c:ser>
        <c:ser>
          <c:idx val="7"/>
          <c:order val="9"/>
          <c:tx>
            <c:strRef>
              <c:f>Grafer!$B$1072</c:f>
              <c:strCache>
                <c:ptCount val="1"/>
                <c:pt idx="0">
                  <c:v>Affald, bionedbrydeligt</c:v>
                </c:pt>
              </c:strCache>
            </c:strRef>
          </c:tx>
          <c:invertIfNegative val="0"/>
          <c:cat>
            <c:strRef>
              <c:f>Grafer!$C$1062:$D$1062</c:f>
              <c:strCache>
                <c:ptCount val="2"/>
                <c:pt idx="0">
                  <c:v>Produktion</c:v>
                </c:pt>
                <c:pt idx="1">
                  <c:v>Forbrug</c:v>
                </c:pt>
              </c:strCache>
            </c:strRef>
          </c:cat>
          <c:val>
            <c:numRef>
              <c:f>Grafer!$C$1072:$D$1072</c:f>
              <c:numCache>
                <c:formatCode>#,##0</c:formatCode>
                <c:ptCount val="2"/>
                <c:pt idx="0">
                  <c:v>0</c:v>
                </c:pt>
              </c:numCache>
            </c:numRef>
          </c:val>
          <c:extLst xmlns:c16r2="http://schemas.microsoft.com/office/drawing/2015/06/chart">
            <c:ext xmlns:c16="http://schemas.microsoft.com/office/drawing/2014/chart" uri="{C3380CC4-5D6E-409C-BE32-E72D297353CC}">
              <c16:uniqueId val="{00000009-BB1A-4FE7-9554-033A4362B87A}"/>
            </c:ext>
          </c:extLst>
        </c:ser>
        <c:ser>
          <c:idx val="8"/>
          <c:order val="10"/>
          <c:tx>
            <c:strRef>
              <c:f>Grafer!$B$1073</c:f>
              <c:strCache>
                <c:ptCount val="1"/>
                <c:pt idx="0">
                  <c:v>Biomasse</c:v>
                </c:pt>
              </c:strCache>
            </c:strRef>
          </c:tx>
          <c:invertIfNegative val="0"/>
          <c:cat>
            <c:strRef>
              <c:f>Grafer!$C$1062:$D$1062</c:f>
              <c:strCache>
                <c:ptCount val="2"/>
                <c:pt idx="0">
                  <c:v>Produktion</c:v>
                </c:pt>
                <c:pt idx="1">
                  <c:v>Forbrug</c:v>
                </c:pt>
              </c:strCache>
            </c:strRef>
          </c:cat>
          <c:val>
            <c:numRef>
              <c:f>Grafer!$C$1073:$D$1073</c:f>
              <c:numCache>
                <c:formatCode>#,##0</c:formatCode>
                <c:ptCount val="2"/>
                <c:pt idx="0">
                  <c:v>0</c:v>
                </c:pt>
              </c:numCache>
            </c:numRef>
          </c:val>
          <c:extLst xmlns:c16r2="http://schemas.microsoft.com/office/drawing/2015/06/chart">
            <c:ext xmlns:c16="http://schemas.microsoft.com/office/drawing/2014/chart" uri="{C3380CC4-5D6E-409C-BE32-E72D297353CC}">
              <c16:uniqueId val="{0000000A-BB1A-4FE7-9554-033A4362B87A}"/>
            </c:ext>
          </c:extLst>
        </c:ser>
        <c:ser>
          <c:idx val="9"/>
          <c:order val="11"/>
          <c:tx>
            <c:strRef>
              <c:f>Grafer!$B$1074</c:f>
              <c:strCache>
                <c:ptCount val="1"/>
                <c:pt idx="0">
                  <c:v>Vindenergi</c:v>
                </c:pt>
              </c:strCache>
            </c:strRef>
          </c:tx>
          <c:invertIfNegative val="0"/>
          <c:cat>
            <c:strRef>
              <c:f>Grafer!$C$1062:$D$1062</c:f>
              <c:strCache>
                <c:ptCount val="2"/>
                <c:pt idx="0">
                  <c:v>Produktion</c:v>
                </c:pt>
                <c:pt idx="1">
                  <c:v>Forbrug</c:v>
                </c:pt>
              </c:strCache>
            </c:strRef>
          </c:cat>
          <c:val>
            <c:numRef>
              <c:f>Grafer!$C$1074:$D$1074</c:f>
              <c:numCache>
                <c:formatCode>#,##0</c:formatCode>
                <c:ptCount val="2"/>
                <c:pt idx="0">
                  <c:v>0</c:v>
                </c:pt>
              </c:numCache>
            </c:numRef>
          </c:val>
          <c:extLst xmlns:c16r2="http://schemas.microsoft.com/office/drawing/2015/06/chart">
            <c:ext xmlns:c16="http://schemas.microsoft.com/office/drawing/2014/chart" uri="{C3380CC4-5D6E-409C-BE32-E72D297353CC}">
              <c16:uniqueId val="{0000000B-BB1A-4FE7-9554-033A4362B87A}"/>
            </c:ext>
          </c:extLst>
        </c:ser>
        <c:ser>
          <c:idx val="10"/>
          <c:order val="12"/>
          <c:tx>
            <c:strRef>
              <c:f>Grafer!$B$1075</c:f>
              <c:strCache>
                <c:ptCount val="1"/>
                <c:pt idx="0">
                  <c:v>Biogas</c:v>
                </c:pt>
              </c:strCache>
            </c:strRef>
          </c:tx>
          <c:invertIfNegative val="0"/>
          <c:cat>
            <c:strRef>
              <c:f>Grafer!$C$1062:$D$1062</c:f>
              <c:strCache>
                <c:ptCount val="2"/>
                <c:pt idx="0">
                  <c:v>Produktion</c:v>
                </c:pt>
                <c:pt idx="1">
                  <c:v>Forbrug</c:v>
                </c:pt>
              </c:strCache>
            </c:strRef>
          </c:cat>
          <c:val>
            <c:numRef>
              <c:f>Grafer!$C$1075:$D$1075</c:f>
              <c:numCache>
                <c:formatCode>#,##0</c:formatCode>
                <c:ptCount val="2"/>
                <c:pt idx="0">
                  <c:v>0</c:v>
                </c:pt>
              </c:numCache>
            </c:numRef>
          </c:val>
          <c:extLst xmlns:c16r2="http://schemas.microsoft.com/office/drawing/2015/06/chart">
            <c:ext xmlns:c16="http://schemas.microsoft.com/office/drawing/2014/chart" uri="{C3380CC4-5D6E-409C-BE32-E72D297353CC}">
              <c16:uniqueId val="{0000000C-BB1A-4FE7-9554-033A4362B87A}"/>
            </c:ext>
          </c:extLst>
        </c:ser>
        <c:ser>
          <c:idx val="11"/>
          <c:order val="13"/>
          <c:tx>
            <c:strRef>
              <c:f>Grafer!$B$1076</c:f>
              <c:strCache>
                <c:ptCount val="1"/>
                <c:pt idx="0">
                  <c:v>Solenergi</c:v>
                </c:pt>
              </c:strCache>
            </c:strRef>
          </c:tx>
          <c:invertIfNegative val="0"/>
          <c:cat>
            <c:strRef>
              <c:f>Grafer!$C$1062:$D$1062</c:f>
              <c:strCache>
                <c:ptCount val="2"/>
                <c:pt idx="0">
                  <c:v>Produktion</c:v>
                </c:pt>
                <c:pt idx="1">
                  <c:v>Forbrug</c:v>
                </c:pt>
              </c:strCache>
            </c:strRef>
          </c:cat>
          <c:val>
            <c:numRef>
              <c:f>Grafer!$C$1076:$D$1076</c:f>
              <c:numCache>
                <c:formatCode>#,##0</c:formatCode>
                <c:ptCount val="2"/>
                <c:pt idx="0">
                  <c:v>0</c:v>
                </c:pt>
              </c:numCache>
            </c:numRef>
          </c:val>
          <c:extLst xmlns:c16r2="http://schemas.microsoft.com/office/drawing/2015/06/chart">
            <c:ext xmlns:c16="http://schemas.microsoft.com/office/drawing/2014/chart" uri="{C3380CC4-5D6E-409C-BE32-E72D297353CC}">
              <c16:uniqueId val="{0000000D-BB1A-4FE7-9554-033A4362B87A}"/>
            </c:ext>
          </c:extLst>
        </c:ser>
        <c:ser>
          <c:idx val="12"/>
          <c:order val="14"/>
          <c:tx>
            <c:strRef>
              <c:f>Grafer!$B$1077</c:f>
              <c:strCache>
                <c:ptCount val="1"/>
                <c:pt idx="0">
                  <c:v>Vandenergi mv.</c:v>
                </c:pt>
              </c:strCache>
            </c:strRef>
          </c:tx>
          <c:invertIfNegative val="0"/>
          <c:cat>
            <c:strRef>
              <c:f>Grafer!$C$1062:$D$1062</c:f>
              <c:strCache>
                <c:ptCount val="2"/>
                <c:pt idx="0">
                  <c:v>Produktion</c:v>
                </c:pt>
                <c:pt idx="1">
                  <c:v>Forbrug</c:v>
                </c:pt>
              </c:strCache>
            </c:strRef>
          </c:cat>
          <c:val>
            <c:numRef>
              <c:f>Grafer!$C$1077:$D$1077</c:f>
              <c:numCache>
                <c:formatCode>#,##0</c:formatCode>
                <c:ptCount val="2"/>
                <c:pt idx="0">
                  <c:v>0</c:v>
                </c:pt>
              </c:numCache>
            </c:numRef>
          </c:val>
          <c:extLst xmlns:c16r2="http://schemas.microsoft.com/office/drawing/2015/06/chart">
            <c:ext xmlns:c16="http://schemas.microsoft.com/office/drawing/2014/chart" uri="{C3380CC4-5D6E-409C-BE32-E72D297353CC}">
              <c16:uniqueId val="{0000000E-BB1A-4FE7-9554-033A4362B87A}"/>
            </c:ext>
          </c:extLst>
        </c:ser>
        <c:ser>
          <c:idx val="0"/>
          <c:order val="15"/>
          <c:tx>
            <c:strRef>
              <c:f>Grafer!$B$1078</c:f>
              <c:strCache>
                <c:ptCount val="1"/>
                <c:pt idx="0">
                  <c:v>Elimport</c:v>
                </c:pt>
              </c:strCache>
            </c:strRef>
          </c:tx>
          <c:invertIfNegative val="0"/>
          <c:cat>
            <c:strRef>
              <c:f>Grafer!$C$1062:$D$1062</c:f>
              <c:strCache>
                <c:ptCount val="2"/>
                <c:pt idx="0">
                  <c:v>Produktion</c:v>
                </c:pt>
                <c:pt idx="1">
                  <c:v>Forbrug</c:v>
                </c:pt>
              </c:strCache>
            </c:strRef>
          </c:cat>
          <c:val>
            <c:numRef>
              <c:f>Grafer!$C$1078:$D$1078</c:f>
              <c:numCache>
                <c:formatCode>#,##0</c:formatCode>
                <c:ptCount val="2"/>
                <c:pt idx="0">
                  <c:v>0</c:v>
                </c:pt>
              </c:numCache>
            </c:numRef>
          </c:val>
          <c:extLst xmlns:c16r2="http://schemas.microsoft.com/office/drawing/2015/06/char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461713248"/>
        <c:axId val="461718344"/>
      </c:barChart>
      <c:catAx>
        <c:axId val="46171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8344"/>
        <c:crosses val="autoZero"/>
        <c:auto val="1"/>
        <c:lblAlgn val="ctr"/>
        <c:lblOffset val="100"/>
        <c:noMultiLvlLbl val="0"/>
      </c:catAx>
      <c:valAx>
        <c:axId val="46171834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3248"/>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88" l="0.70000000000000062" r="0.70000000000000062" t="0.750000000000011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Grafer!$B$1117</c:f>
              <c:strCache>
                <c:ptCount val="1"/>
                <c:pt idx="0">
                  <c:v>Forbrug</c:v>
                </c:pt>
              </c:strCache>
            </c:strRef>
          </c:tx>
          <c:invertIfNegative val="0"/>
          <c:cat>
            <c:strRef>
              <c:f>Grafer!$C$1116:$D$1116</c:f>
              <c:strCache>
                <c:ptCount val="2"/>
                <c:pt idx="0">
                  <c:v>Produktion</c:v>
                </c:pt>
                <c:pt idx="1">
                  <c:v>Forbrug</c:v>
                </c:pt>
              </c:strCache>
            </c:strRef>
          </c:cat>
          <c:val>
            <c:numRef>
              <c:f>Grafer!$C$1117:$D$1117</c:f>
              <c:numCache>
                <c:formatCode>#,##0</c:formatCode>
                <c:ptCount val="2"/>
                <c:pt idx="1">
                  <c:v>0</c:v>
                </c:pt>
              </c:numCache>
            </c:numRef>
          </c:val>
          <c:extLst xmlns:c16r2="http://schemas.microsoft.com/office/drawing/2015/06/chart">
            <c:ext xmlns:c16="http://schemas.microsoft.com/office/drawing/2014/chart" uri="{C3380CC4-5D6E-409C-BE32-E72D297353CC}">
              <c16:uniqueId val="{00000000-50B7-4834-A8AE-A486AC6B8A00}"/>
            </c:ext>
          </c:extLst>
        </c:ser>
        <c:ser>
          <c:idx val="8"/>
          <c:order val="1"/>
          <c:tx>
            <c:strRef>
              <c:f>Grafer!$B$1118</c:f>
              <c:strCache>
                <c:ptCount val="1"/>
                <c:pt idx="0">
                  <c:v>Nettab</c:v>
                </c:pt>
              </c:strCache>
            </c:strRef>
          </c:tx>
          <c:spPr>
            <a:solidFill>
              <a:schemeClr val="accent5">
                <a:lumMod val="40000"/>
                <a:lumOff val="60000"/>
              </a:schemeClr>
            </a:solidFill>
          </c:spPr>
          <c:invertIfNegative val="0"/>
          <c:cat>
            <c:strRef>
              <c:f>Grafer!$C$1116:$D$1116</c:f>
              <c:strCache>
                <c:ptCount val="2"/>
                <c:pt idx="0">
                  <c:v>Produktion</c:v>
                </c:pt>
                <c:pt idx="1">
                  <c:v>Forbrug</c:v>
                </c:pt>
              </c:strCache>
            </c:strRef>
          </c:cat>
          <c:val>
            <c:numRef>
              <c:f>Grafer!$C$1118:$D$1118</c:f>
              <c:numCache>
                <c:formatCode>#,##0</c:formatCode>
                <c:ptCount val="2"/>
                <c:pt idx="1">
                  <c:v>0</c:v>
                </c:pt>
              </c:numCache>
            </c:numRef>
          </c:val>
          <c:extLst xmlns:c16r2="http://schemas.microsoft.com/office/drawing/2015/06/chart">
            <c:ext xmlns:c16="http://schemas.microsoft.com/office/drawing/2014/chart" uri="{C3380CC4-5D6E-409C-BE32-E72D297353CC}">
              <c16:uniqueId val="{00000001-50B7-4834-A8AE-A486AC6B8A00}"/>
            </c:ext>
          </c:extLst>
        </c:ser>
        <c:ser>
          <c:idx val="3"/>
          <c:order val="2"/>
          <c:tx>
            <c:strRef>
              <c:f>Grafer!$B$1119</c:f>
              <c:strCache>
                <c:ptCount val="1"/>
                <c:pt idx="0">
                  <c:v>Egetforbrug af varme, industri</c:v>
                </c:pt>
              </c:strCache>
            </c:strRef>
          </c:tx>
          <c:invertIfNegative val="0"/>
          <c:cat>
            <c:strRef>
              <c:f>Grafer!$C$1116:$D$1116</c:f>
              <c:strCache>
                <c:ptCount val="2"/>
                <c:pt idx="0">
                  <c:v>Produktion</c:v>
                </c:pt>
                <c:pt idx="1">
                  <c:v>Forbrug</c:v>
                </c:pt>
              </c:strCache>
            </c:strRef>
          </c:cat>
          <c:val>
            <c:numRef>
              <c:f>Grafer!$C$1119:$D$1119</c:f>
              <c:numCache>
                <c:formatCode>#,##0</c:formatCode>
                <c:ptCount val="2"/>
                <c:pt idx="1">
                  <c:v>0</c:v>
                </c:pt>
              </c:numCache>
            </c:numRef>
          </c:val>
          <c:extLst xmlns:c16r2="http://schemas.microsoft.com/office/drawing/2015/06/chart">
            <c:ext xmlns:c16="http://schemas.microsoft.com/office/drawing/2014/chart" uri="{C3380CC4-5D6E-409C-BE32-E72D297353CC}">
              <c16:uniqueId val="{00000002-50B7-4834-A8AE-A486AC6B8A00}"/>
            </c:ext>
          </c:extLst>
        </c:ser>
        <c:ser>
          <c:idx val="2"/>
          <c:order val="3"/>
          <c:tx>
            <c:strRef>
              <c:f>Grafer!$B$1120</c:f>
              <c:strCache>
                <c:ptCount val="1"/>
              </c:strCache>
            </c:strRef>
          </c:tx>
          <c:spPr>
            <a:solidFill>
              <a:schemeClr val="bg1"/>
            </a:solidFill>
          </c:spPr>
          <c:invertIfNegative val="0"/>
          <c:cat>
            <c:strRef>
              <c:f>Grafer!$C$1116:$D$1116</c:f>
              <c:strCache>
                <c:ptCount val="2"/>
                <c:pt idx="0">
                  <c:v>Produktion</c:v>
                </c:pt>
                <c:pt idx="1">
                  <c:v>Forbrug</c:v>
                </c:pt>
              </c:strCache>
            </c:strRef>
          </c:cat>
          <c:val>
            <c:numRef>
              <c:f>Grafer!$C$1120:$D$1120</c:f>
              <c:numCache>
                <c:formatCode>#,##0</c:formatCode>
                <c:ptCount val="2"/>
              </c:numCache>
            </c:numRef>
          </c:val>
          <c:extLst xmlns:c16r2="http://schemas.microsoft.com/office/drawing/2015/06/chart">
            <c:ext xmlns:c16="http://schemas.microsoft.com/office/drawing/2014/chart" uri="{C3380CC4-5D6E-409C-BE32-E72D297353CC}">
              <c16:uniqueId val="{00000003-50B7-4834-A8AE-A486AC6B8A00}"/>
            </c:ext>
          </c:extLst>
        </c:ser>
        <c:ser>
          <c:idx val="1"/>
          <c:order val="4"/>
          <c:tx>
            <c:strRef>
              <c:f>Grafer!$B$1121</c:f>
              <c:strCache>
                <c:ptCount val="1"/>
                <c:pt idx="0">
                  <c:v>Kraftvarme</c:v>
                </c:pt>
              </c:strCache>
            </c:strRef>
          </c:tx>
          <c:invertIfNegative val="0"/>
          <c:cat>
            <c:strRef>
              <c:f>Grafer!$C$1116:$D$1116</c:f>
              <c:strCache>
                <c:ptCount val="2"/>
                <c:pt idx="0">
                  <c:v>Produktion</c:v>
                </c:pt>
                <c:pt idx="1">
                  <c:v>Forbrug</c:v>
                </c:pt>
              </c:strCache>
            </c:strRef>
          </c:cat>
          <c:val>
            <c:numRef>
              <c:f>Grafer!$C$1121:$D$1121</c:f>
              <c:numCache>
                <c:formatCode>#,##0</c:formatCode>
                <c:ptCount val="2"/>
                <c:pt idx="0">
                  <c:v>0</c:v>
                </c:pt>
              </c:numCache>
            </c:numRef>
          </c:val>
          <c:extLst xmlns:c16r2="http://schemas.microsoft.com/office/drawing/2015/06/chart">
            <c:ext xmlns:c16="http://schemas.microsoft.com/office/drawing/2014/chart" uri="{C3380CC4-5D6E-409C-BE32-E72D297353CC}">
              <c16:uniqueId val="{00000004-50B7-4834-A8AE-A486AC6B8A00}"/>
            </c:ext>
          </c:extLst>
        </c:ser>
        <c:ser>
          <c:idx val="4"/>
          <c:order val="5"/>
          <c:tx>
            <c:strRef>
              <c:f>Grafer!$B$1122</c:f>
              <c:strCache>
                <c:ptCount val="1"/>
                <c:pt idx="0">
                  <c:v>Kedel</c:v>
                </c:pt>
              </c:strCache>
            </c:strRef>
          </c:tx>
          <c:invertIfNegative val="0"/>
          <c:cat>
            <c:strRef>
              <c:f>Grafer!$C$1116:$D$1116</c:f>
              <c:strCache>
                <c:ptCount val="2"/>
                <c:pt idx="0">
                  <c:v>Produktion</c:v>
                </c:pt>
                <c:pt idx="1">
                  <c:v>Forbrug</c:v>
                </c:pt>
              </c:strCache>
            </c:strRef>
          </c:cat>
          <c:val>
            <c:numRef>
              <c:f>Grafer!$C$1122:$D$1122</c:f>
              <c:numCache>
                <c:formatCode>#,##0</c:formatCode>
                <c:ptCount val="2"/>
                <c:pt idx="0">
                  <c:v>0</c:v>
                </c:pt>
              </c:numCache>
            </c:numRef>
          </c:val>
          <c:extLst xmlns:c16r2="http://schemas.microsoft.com/office/drawing/2015/06/chart">
            <c:ext xmlns:c16="http://schemas.microsoft.com/office/drawing/2014/chart" uri="{C3380CC4-5D6E-409C-BE32-E72D297353CC}">
              <c16:uniqueId val="{00000005-50B7-4834-A8AE-A486AC6B8A00}"/>
            </c:ext>
          </c:extLst>
        </c:ser>
        <c:ser>
          <c:idx val="6"/>
          <c:order val="6"/>
          <c:tx>
            <c:strRef>
              <c:f>Grafer!$B$1123</c:f>
              <c:strCache>
                <c:ptCount val="1"/>
                <c:pt idx="0">
                  <c:v>Varmepumper og elpatroner</c:v>
                </c:pt>
              </c:strCache>
            </c:strRef>
          </c:tx>
          <c:invertIfNegative val="0"/>
          <c:cat>
            <c:strRef>
              <c:f>Grafer!$C$1116:$D$1116</c:f>
              <c:strCache>
                <c:ptCount val="2"/>
                <c:pt idx="0">
                  <c:v>Produktion</c:v>
                </c:pt>
                <c:pt idx="1">
                  <c:v>Forbrug</c:v>
                </c:pt>
              </c:strCache>
            </c:strRef>
          </c:cat>
          <c:val>
            <c:numRef>
              <c:f>Grafer!$C$1123:$D$1123</c:f>
              <c:numCache>
                <c:formatCode>#,##0</c:formatCode>
                <c:ptCount val="2"/>
                <c:pt idx="0">
                  <c:v>0</c:v>
                </c:pt>
              </c:numCache>
            </c:numRef>
          </c:val>
          <c:extLst xmlns:c16r2="http://schemas.microsoft.com/office/drawing/2015/06/chart">
            <c:ext xmlns:c16="http://schemas.microsoft.com/office/drawing/2014/chart" uri="{C3380CC4-5D6E-409C-BE32-E72D297353CC}">
              <c16:uniqueId val="{00000006-50B7-4834-A8AE-A486AC6B8A00}"/>
            </c:ext>
          </c:extLst>
        </c:ser>
        <c:ser>
          <c:idx val="7"/>
          <c:order val="7"/>
          <c:tx>
            <c:strRef>
              <c:f>Grafer!$B$1124</c:f>
              <c:strCache>
                <c:ptCount val="1"/>
                <c:pt idx="0">
                  <c:v>Solvarme</c:v>
                </c:pt>
              </c:strCache>
            </c:strRef>
          </c:tx>
          <c:spPr>
            <a:solidFill>
              <a:srgbClr val="FFC000"/>
            </a:solidFill>
          </c:spPr>
          <c:invertIfNegative val="0"/>
          <c:cat>
            <c:strRef>
              <c:f>Grafer!$C$1116:$D$1116</c:f>
              <c:strCache>
                <c:ptCount val="2"/>
                <c:pt idx="0">
                  <c:v>Produktion</c:v>
                </c:pt>
                <c:pt idx="1">
                  <c:v>Forbrug</c:v>
                </c:pt>
              </c:strCache>
            </c:strRef>
          </c:cat>
          <c:val>
            <c:numRef>
              <c:f>Grafer!$C$1124:$D$1124</c:f>
              <c:numCache>
                <c:formatCode>#,##0</c:formatCode>
                <c:ptCount val="2"/>
                <c:pt idx="0">
                  <c:v>0</c:v>
                </c:pt>
              </c:numCache>
            </c:numRef>
          </c:val>
          <c:extLst xmlns:c16r2="http://schemas.microsoft.com/office/drawing/2015/06/chart">
            <c:ext xmlns:c16="http://schemas.microsoft.com/office/drawing/2014/chart" uri="{C3380CC4-5D6E-409C-BE32-E72D297353CC}">
              <c16:uniqueId val="{00000007-50B7-4834-A8AE-A486AC6B8A00}"/>
            </c:ext>
          </c:extLst>
        </c:ser>
        <c:ser>
          <c:idx val="9"/>
          <c:order val="8"/>
          <c:tx>
            <c:strRef>
              <c:f>Grafer!$B$1125</c:f>
              <c:strCache>
                <c:ptCount val="1"/>
                <c:pt idx="0">
                  <c:v>Geotermi</c:v>
                </c:pt>
              </c:strCache>
            </c:strRef>
          </c:tx>
          <c:spPr>
            <a:solidFill>
              <a:schemeClr val="bg2">
                <a:lumMod val="50000"/>
              </a:schemeClr>
            </a:solidFill>
          </c:spPr>
          <c:invertIfNegative val="0"/>
          <c:cat>
            <c:strRef>
              <c:f>Grafer!$C$1116:$D$1116</c:f>
              <c:strCache>
                <c:ptCount val="2"/>
                <c:pt idx="0">
                  <c:v>Produktion</c:v>
                </c:pt>
                <c:pt idx="1">
                  <c:v>Forbrug</c:v>
                </c:pt>
              </c:strCache>
            </c:strRef>
          </c:cat>
          <c:val>
            <c:numRef>
              <c:f>Grafer!$C$1125:$D$1125</c:f>
              <c:numCache>
                <c:formatCode>#,##0</c:formatCode>
                <c:ptCount val="2"/>
                <c:pt idx="0">
                  <c:v>0</c:v>
                </c:pt>
              </c:numCache>
            </c:numRef>
          </c:val>
          <c:extLst xmlns:c16r2="http://schemas.microsoft.com/office/drawing/2015/06/chart">
            <c:ext xmlns:c16="http://schemas.microsoft.com/office/drawing/2014/chart" uri="{C3380CC4-5D6E-409C-BE32-E72D297353CC}">
              <c16:uniqueId val="{00000008-50B7-4834-A8AE-A486AC6B8A00}"/>
            </c:ext>
          </c:extLst>
        </c:ser>
        <c:ser>
          <c:idx val="5"/>
          <c:order val="9"/>
          <c:tx>
            <c:strRef>
              <c:f>Grafer!$B$1126</c:f>
              <c:strCache>
                <c:ptCount val="1"/>
                <c:pt idx="0">
                  <c:v>Overskudsvarme</c:v>
                </c:pt>
              </c:strCache>
            </c:strRef>
          </c:tx>
          <c:invertIfNegative val="0"/>
          <c:cat>
            <c:strRef>
              <c:f>Grafer!$C$1116:$D$1116</c:f>
              <c:strCache>
                <c:ptCount val="2"/>
                <c:pt idx="0">
                  <c:v>Produktion</c:v>
                </c:pt>
                <c:pt idx="1">
                  <c:v>Forbrug</c:v>
                </c:pt>
              </c:strCache>
            </c:strRef>
          </c:cat>
          <c:val>
            <c:numRef>
              <c:f>Grafer!$C$1126:$D$1126</c:f>
              <c:numCache>
                <c:formatCode>#,##0</c:formatCode>
                <c:ptCount val="2"/>
                <c:pt idx="0">
                  <c:v>0</c:v>
                </c:pt>
              </c:numCache>
            </c:numRef>
          </c:val>
          <c:extLst xmlns:c16r2="http://schemas.microsoft.com/office/drawing/2015/06/chart">
            <c:ext xmlns:c16="http://schemas.microsoft.com/office/drawing/2014/chart" uri="{C3380CC4-5D6E-409C-BE32-E72D297353CC}">
              <c16:uniqueId val="{00000009-50B7-4834-A8AE-A486AC6B8A00}"/>
            </c:ext>
          </c:extLst>
        </c:ser>
        <c:ser>
          <c:idx val="10"/>
          <c:order val="10"/>
          <c:tx>
            <c:strRef>
              <c:f>Grafer!$B$1127</c:f>
              <c:strCache>
                <c:ptCount val="1"/>
                <c:pt idx="0">
                  <c:v>Import fjernvarme</c:v>
                </c:pt>
              </c:strCache>
            </c:strRef>
          </c:tx>
          <c:spPr>
            <a:solidFill>
              <a:schemeClr val="accent6">
                <a:lumMod val="60000"/>
                <a:lumOff val="40000"/>
              </a:schemeClr>
            </a:solidFill>
          </c:spPr>
          <c:invertIfNegative val="0"/>
          <c:cat>
            <c:strRef>
              <c:f>Grafer!$C$1116:$D$1116</c:f>
              <c:strCache>
                <c:ptCount val="2"/>
                <c:pt idx="0">
                  <c:v>Produktion</c:v>
                </c:pt>
                <c:pt idx="1">
                  <c:v>Forbrug</c:v>
                </c:pt>
              </c:strCache>
            </c:strRef>
          </c:cat>
          <c:val>
            <c:numRef>
              <c:f>Grafer!$C$1127:$D$1127</c:f>
              <c:numCache>
                <c:formatCode>#,##0</c:formatCode>
                <c:ptCount val="2"/>
                <c:pt idx="0">
                  <c:v>0</c:v>
                </c:pt>
              </c:numCache>
            </c:numRef>
          </c:val>
          <c:extLst xmlns:c16r2="http://schemas.microsoft.com/office/drawing/2015/06/char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461713640"/>
        <c:axId val="461716776"/>
      </c:barChart>
      <c:catAx>
        <c:axId val="4617136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6776"/>
        <c:crosses val="autoZero"/>
        <c:auto val="1"/>
        <c:lblAlgn val="ctr"/>
        <c:lblOffset val="100"/>
        <c:noMultiLvlLbl val="0"/>
      </c:catAx>
      <c:valAx>
        <c:axId val="46171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364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277" l="0.70000000000000062" r="0.70000000000000062" t="0.750000000000012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Grafer!$B$1163</c:f>
              <c:strCache>
                <c:ptCount val="1"/>
                <c:pt idx="0">
                  <c:v>Forbrug</c:v>
                </c:pt>
              </c:strCache>
            </c:strRef>
          </c:tx>
          <c:invertIfNegative val="0"/>
          <c:cat>
            <c:strRef>
              <c:f>Grafer!$C$1162:$D$1162</c:f>
              <c:strCache>
                <c:ptCount val="2"/>
                <c:pt idx="0">
                  <c:v>Produktion</c:v>
                </c:pt>
                <c:pt idx="1">
                  <c:v>Forbrug</c:v>
                </c:pt>
              </c:strCache>
            </c:strRef>
          </c:cat>
          <c:val>
            <c:numRef>
              <c:f>Grafer!$C$1163:$D$1163</c:f>
              <c:numCache>
                <c:formatCode>#,##0</c:formatCode>
                <c:ptCount val="2"/>
                <c:pt idx="1">
                  <c:v>0</c:v>
                </c:pt>
              </c:numCache>
            </c:numRef>
          </c:val>
          <c:extLst xmlns:c16r2="http://schemas.microsoft.com/office/drawing/2015/06/chart">
            <c:ext xmlns:c16="http://schemas.microsoft.com/office/drawing/2014/chart" uri="{C3380CC4-5D6E-409C-BE32-E72D297353CC}">
              <c16:uniqueId val="{00000000-DDD3-41C4-811E-BC69A14CAE96}"/>
            </c:ext>
          </c:extLst>
        </c:ser>
        <c:ser>
          <c:idx val="1"/>
          <c:order val="1"/>
          <c:tx>
            <c:strRef>
              <c:f>Grafer!$B$1164</c:f>
              <c:strCache>
                <c:ptCount val="1"/>
                <c:pt idx="0">
                  <c:v>Nettab</c:v>
                </c:pt>
              </c:strCache>
            </c:strRef>
          </c:tx>
          <c:spPr>
            <a:solidFill>
              <a:schemeClr val="accent5">
                <a:lumMod val="40000"/>
                <a:lumOff val="60000"/>
              </a:schemeClr>
            </a:solidFill>
          </c:spPr>
          <c:invertIfNegative val="0"/>
          <c:cat>
            <c:strRef>
              <c:f>Grafer!$C$1162:$D$1162</c:f>
              <c:strCache>
                <c:ptCount val="2"/>
                <c:pt idx="0">
                  <c:v>Produktion</c:v>
                </c:pt>
                <c:pt idx="1">
                  <c:v>Forbrug</c:v>
                </c:pt>
              </c:strCache>
            </c:strRef>
          </c:cat>
          <c:val>
            <c:numRef>
              <c:f>Grafer!$C$1164:$D$1164</c:f>
              <c:numCache>
                <c:formatCode>#,##0</c:formatCode>
                <c:ptCount val="2"/>
                <c:pt idx="1">
                  <c:v>0</c:v>
                </c:pt>
              </c:numCache>
            </c:numRef>
          </c:val>
          <c:extLst xmlns:c16r2="http://schemas.microsoft.com/office/drawing/2015/06/chart">
            <c:ext xmlns:c16="http://schemas.microsoft.com/office/drawing/2014/chart" uri="{C3380CC4-5D6E-409C-BE32-E72D297353CC}">
              <c16:uniqueId val="{00000001-DDD3-41C4-811E-BC69A14CAE96}"/>
            </c:ext>
          </c:extLst>
        </c:ser>
        <c:ser>
          <c:idx val="3"/>
          <c:order val="2"/>
          <c:tx>
            <c:strRef>
              <c:f>Grafer!$B$1165</c:f>
              <c:strCache>
                <c:ptCount val="1"/>
                <c:pt idx="0">
                  <c:v>Egetforbrug af varme, industri</c:v>
                </c:pt>
              </c:strCache>
            </c:strRef>
          </c:tx>
          <c:invertIfNegative val="0"/>
          <c:cat>
            <c:strRef>
              <c:f>Grafer!$C$1162:$D$1162</c:f>
              <c:strCache>
                <c:ptCount val="2"/>
                <c:pt idx="0">
                  <c:v>Produktion</c:v>
                </c:pt>
                <c:pt idx="1">
                  <c:v>Forbrug</c:v>
                </c:pt>
              </c:strCache>
            </c:strRef>
          </c:cat>
          <c:val>
            <c:numRef>
              <c:f>Grafer!$C$1165:$D$1165</c:f>
              <c:numCache>
                <c:formatCode>0</c:formatCode>
                <c:ptCount val="2"/>
                <c:pt idx="1">
                  <c:v>0</c:v>
                </c:pt>
              </c:numCache>
            </c:numRef>
          </c:val>
          <c:extLst xmlns:c16r2="http://schemas.microsoft.com/office/drawing/2015/06/chart">
            <c:ext xmlns:c16="http://schemas.microsoft.com/office/drawing/2014/chart" uri="{C3380CC4-5D6E-409C-BE32-E72D297353CC}">
              <c16:uniqueId val="{00000002-DDD3-41C4-811E-BC69A14CAE96}"/>
            </c:ext>
          </c:extLst>
        </c:ser>
        <c:ser>
          <c:idx val="0"/>
          <c:order val="3"/>
          <c:tx>
            <c:strRef>
              <c:f>Grafer!$B$1166</c:f>
              <c:strCache>
                <c:ptCount val="1"/>
              </c:strCache>
            </c:strRef>
          </c:tx>
          <c:spPr>
            <a:solidFill>
              <a:schemeClr val="bg1"/>
            </a:solidFill>
          </c:spPr>
          <c:invertIfNegative val="0"/>
          <c:cat>
            <c:strRef>
              <c:f>Grafer!$C$1162:$D$1162</c:f>
              <c:strCache>
                <c:ptCount val="2"/>
                <c:pt idx="0">
                  <c:v>Produktion</c:v>
                </c:pt>
                <c:pt idx="1">
                  <c:v>Forbrug</c:v>
                </c:pt>
              </c:strCache>
            </c:strRef>
          </c:cat>
          <c:val>
            <c:numRef>
              <c:f>Grafer!$C$1166:$D$1166</c:f>
              <c:numCache>
                <c:formatCode>#,##0</c:formatCode>
                <c:ptCount val="2"/>
              </c:numCache>
            </c:numRef>
          </c:val>
          <c:extLst xmlns:c16r2="http://schemas.microsoft.com/office/drawing/2015/06/chart">
            <c:ext xmlns:c16="http://schemas.microsoft.com/office/drawing/2014/chart" uri="{C3380CC4-5D6E-409C-BE32-E72D297353CC}">
              <c16:uniqueId val="{00000003-DDD3-41C4-811E-BC69A14CAE96}"/>
            </c:ext>
          </c:extLst>
        </c:ser>
        <c:ser>
          <c:idx val="2"/>
          <c:order val="4"/>
          <c:tx>
            <c:strRef>
              <c:f>Grafer!$B$1167</c:f>
              <c:strCache>
                <c:ptCount val="1"/>
                <c:pt idx="0">
                  <c:v>Brændselsolie/diesel</c:v>
                </c:pt>
              </c:strCache>
            </c:strRef>
          </c:tx>
          <c:invertIfNegative val="0"/>
          <c:cat>
            <c:strRef>
              <c:f>Grafer!$C$1162:$D$1162</c:f>
              <c:strCache>
                <c:ptCount val="2"/>
                <c:pt idx="0">
                  <c:v>Produktion</c:v>
                </c:pt>
                <c:pt idx="1">
                  <c:v>Forbrug</c:v>
                </c:pt>
              </c:strCache>
            </c:strRef>
          </c:cat>
          <c:val>
            <c:numRef>
              <c:f>Grafer!$C$1167:$D$1167</c:f>
              <c:numCache>
                <c:formatCode>#,##0</c:formatCode>
                <c:ptCount val="2"/>
                <c:pt idx="0">
                  <c:v>0</c:v>
                </c:pt>
              </c:numCache>
            </c:numRef>
          </c:val>
          <c:extLst xmlns:c16r2="http://schemas.microsoft.com/office/drawing/2015/06/chart">
            <c:ext xmlns:c16="http://schemas.microsoft.com/office/drawing/2014/chart" uri="{C3380CC4-5D6E-409C-BE32-E72D297353CC}">
              <c16:uniqueId val="{00000004-DDD3-41C4-811E-BC69A14CAE96}"/>
            </c:ext>
          </c:extLst>
        </c:ser>
        <c:ser>
          <c:idx val="4"/>
          <c:order val="5"/>
          <c:tx>
            <c:strRef>
              <c:f>Grafer!$B$1168</c:f>
              <c:strCache>
                <c:ptCount val="1"/>
                <c:pt idx="0">
                  <c:v>Kul</c:v>
                </c:pt>
              </c:strCache>
            </c:strRef>
          </c:tx>
          <c:invertIfNegative val="0"/>
          <c:cat>
            <c:strRef>
              <c:f>Grafer!$C$1162:$D$1162</c:f>
              <c:strCache>
                <c:ptCount val="2"/>
                <c:pt idx="0">
                  <c:v>Produktion</c:v>
                </c:pt>
                <c:pt idx="1">
                  <c:v>Forbrug</c:v>
                </c:pt>
              </c:strCache>
            </c:strRef>
          </c:cat>
          <c:val>
            <c:numRef>
              <c:f>Grafer!$C$1168:$D$1168</c:f>
              <c:numCache>
                <c:formatCode>#,##0</c:formatCode>
                <c:ptCount val="2"/>
                <c:pt idx="0">
                  <c:v>0</c:v>
                </c:pt>
              </c:numCache>
            </c:numRef>
          </c:val>
          <c:extLst xmlns:c16r2="http://schemas.microsoft.com/office/drawing/2015/06/chart">
            <c:ext xmlns:c16="http://schemas.microsoft.com/office/drawing/2014/chart" uri="{C3380CC4-5D6E-409C-BE32-E72D297353CC}">
              <c16:uniqueId val="{00000005-DDD3-41C4-811E-BC69A14CAE96}"/>
            </c:ext>
          </c:extLst>
        </c:ser>
        <c:ser>
          <c:idx val="14"/>
          <c:order val="6"/>
          <c:tx>
            <c:strRef>
              <c:f>Grafer!$B$1169</c:f>
              <c:strCache>
                <c:ptCount val="1"/>
                <c:pt idx="0">
                  <c:v>Fuelolie</c:v>
                </c:pt>
              </c:strCache>
            </c:strRef>
          </c:tx>
          <c:spPr>
            <a:solidFill>
              <a:schemeClr val="accent6">
                <a:lumMod val="75000"/>
              </a:schemeClr>
            </a:solidFill>
          </c:spPr>
          <c:invertIfNegative val="0"/>
          <c:cat>
            <c:strRef>
              <c:f>Grafer!$C$1162:$D$1162</c:f>
              <c:strCache>
                <c:ptCount val="2"/>
                <c:pt idx="0">
                  <c:v>Produktion</c:v>
                </c:pt>
                <c:pt idx="1">
                  <c:v>Forbrug</c:v>
                </c:pt>
              </c:strCache>
            </c:strRef>
          </c:cat>
          <c:val>
            <c:numRef>
              <c:f>Grafer!$C$1169:$D$1169</c:f>
              <c:numCache>
                <c:formatCode>#,##0</c:formatCode>
                <c:ptCount val="2"/>
                <c:pt idx="0">
                  <c:v>0</c:v>
                </c:pt>
              </c:numCache>
            </c:numRef>
          </c:val>
          <c:extLst xmlns:c16r2="http://schemas.microsoft.com/office/drawing/2015/06/chart">
            <c:ext xmlns:c16="http://schemas.microsoft.com/office/drawing/2014/chart" uri="{C3380CC4-5D6E-409C-BE32-E72D297353CC}">
              <c16:uniqueId val="{00000006-DDD3-41C4-811E-BC69A14CAE96}"/>
            </c:ext>
          </c:extLst>
        </c:ser>
        <c:ser>
          <c:idx val="13"/>
          <c:order val="7"/>
          <c:tx>
            <c:strRef>
              <c:f>Grafer!$B$1170</c:f>
              <c:strCache>
                <c:ptCount val="1"/>
                <c:pt idx="0">
                  <c:v>Naturgas</c:v>
                </c:pt>
              </c:strCache>
            </c:strRef>
          </c:tx>
          <c:spPr>
            <a:solidFill>
              <a:schemeClr val="accent4">
                <a:lumMod val="75000"/>
              </a:schemeClr>
            </a:solidFill>
          </c:spPr>
          <c:invertIfNegative val="0"/>
          <c:cat>
            <c:strRef>
              <c:f>Grafer!$C$1162:$D$1162</c:f>
              <c:strCache>
                <c:ptCount val="2"/>
                <c:pt idx="0">
                  <c:v>Produktion</c:v>
                </c:pt>
                <c:pt idx="1">
                  <c:v>Forbrug</c:v>
                </c:pt>
              </c:strCache>
            </c:strRef>
          </c:cat>
          <c:val>
            <c:numRef>
              <c:f>Grafer!$C$1170:$D$1170</c:f>
              <c:numCache>
                <c:formatCode>#,##0</c:formatCode>
                <c:ptCount val="2"/>
                <c:pt idx="0">
                  <c:v>0</c:v>
                </c:pt>
              </c:numCache>
            </c:numRef>
          </c:val>
          <c:extLst xmlns:c16r2="http://schemas.microsoft.com/office/drawing/2015/06/chart">
            <c:ext xmlns:c16="http://schemas.microsoft.com/office/drawing/2014/chart" uri="{C3380CC4-5D6E-409C-BE32-E72D297353CC}">
              <c16:uniqueId val="{00000007-DDD3-41C4-811E-BC69A14CAE96}"/>
            </c:ext>
          </c:extLst>
        </c:ser>
        <c:ser>
          <c:idx val="7"/>
          <c:order val="8"/>
          <c:tx>
            <c:strRef>
              <c:f>Grafer!$B$1171</c:f>
              <c:strCache>
                <c:ptCount val="1"/>
                <c:pt idx="0">
                  <c:v>Affald, ikke bionedbrydeligt</c:v>
                </c:pt>
              </c:strCache>
            </c:strRef>
          </c:tx>
          <c:invertIfNegative val="0"/>
          <c:cat>
            <c:strRef>
              <c:f>Grafer!$C$1162:$D$1162</c:f>
              <c:strCache>
                <c:ptCount val="2"/>
                <c:pt idx="0">
                  <c:v>Produktion</c:v>
                </c:pt>
                <c:pt idx="1">
                  <c:v>Forbrug</c:v>
                </c:pt>
              </c:strCache>
            </c:strRef>
          </c:cat>
          <c:val>
            <c:numRef>
              <c:f>Grafer!$C$1171:$D$1171</c:f>
              <c:numCache>
                <c:formatCode>#,##0</c:formatCode>
                <c:ptCount val="2"/>
                <c:pt idx="0">
                  <c:v>0</c:v>
                </c:pt>
              </c:numCache>
            </c:numRef>
          </c:val>
          <c:extLst xmlns:c16r2="http://schemas.microsoft.com/office/drawing/2015/06/chart">
            <c:ext xmlns:c16="http://schemas.microsoft.com/office/drawing/2014/chart" uri="{C3380CC4-5D6E-409C-BE32-E72D297353CC}">
              <c16:uniqueId val="{00000008-DDD3-41C4-811E-BC69A14CAE96}"/>
            </c:ext>
          </c:extLst>
        </c:ser>
        <c:ser>
          <c:idx val="8"/>
          <c:order val="9"/>
          <c:tx>
            <c:strRef>
              <c:f>Grafer!$B$1172</c:f>
              <c:strCache>
                <c:ptCount val="1"/>
                <c:pt idx="0">
                  <c:v>Affald, bionedbrydeligt</c:v>
                </c:pt>
              </c:strCache>
            </c:strRef>
          </c:tx>
          <c:invertIfNegative val="0"/>
          <c:cat>
            <c:strRef>
              <c:f>Grafer!$C$1162:$D$1162</c:f>
              <c:strCache>
                <c:ptCount val="2"/>
                <c:pt idx="0">
                  <c:v>Produktion</c:v>
                </c:pt>
                <c:pt idx="1">
                  <c:v>Forbrug</c:v>
                </c:pt>
              </c:strCache>
            </c:strRef>
          </c:cat>
          <c:val>
            <c:numRef>
              <c:f>Grafer!$C$1172:$D$1172</c:f>
              <c:numCache>
                <c:formatCode>#,##0</c:formatCode>
                <c:ptCount val="2"/>
                <c:pt idx="0">
                  <c:v>0</c:v>
                </c:pt>
              </c:numCache>
            </c:numRef>
          </c:val>
          <c:extLst xmlns:c16r2="http://schemas.microsoft.com/office/drawing/2015/06/chart">
            <c:ext xmlns:c16="http://schemas.microsoft.com/office/drawing/2014/chart" uri="{C3380CC4-5D6E-409C-BE32-E72D297353CC}">
              <c16:uniqueId val="{00000009-DDD3-41C4-811E-BC69A14CAE96}"/>
            </c:ext>
          </c:extLst>
        </c:ser>
        <c:ser>
          <c:idx val="10"/>
          <c:order val="10"/>
          <c:tx>
            <c:strRef>
              <c:f>Grafer!$B$1173</c:f>
              <c:strCache>
                <c:ptCount val="1"/>
                <c:pt idx="0">
                  <c:v>Biomasse</c:v>
                </c:pt>
              </c:strCache>
            </c:strRef>
          </c:tx>
          <c:invertIfNegative val="0"/>
          <c:cat>
            <c:strRef>
              <c:f>Grafer!$C$1162:$D$1162</c:f>
              <c:strCache>
                <c:ptCount val="2"/>
                <c:pt idx="0">
                  <c:v>Produktion</c:v>
                </c:pt>
                <c:pt idx="1">
                  <c:v>Forbrug</c:v>
                </c:pt>
              </c:strCache>
            </c:strRef>
          </c:cat>
          <c:val>
            <c:numRef>
              <c:f>Grafer!$C$1173:$D$1173</c:f>
              <c:numCache>
                <c:formatCode>#,##0</c:formatCode>
                <c:ptCount val="2"/>
                <c:pt idx="0">
                  <c:v>0</c:v>
                </c:pt>
              </c:numCache>
            </c:numRef>
          </c:val>
          <c:extLst xmlns:c16r2="http://schemas.microsoft.com/office/drawing/2015/06/chart">
            <c:ext xmlns:c16="http://schemas.microsoft.com/office/drawing/2014/chart" uri="{C3380CC4-5D6E-409C-BE32-E72D297353CC}">
              <c16:uniqueId val="{0000000A-DDD3-41C4-811E-BC69A14CAE96}"/>
            </c:ext>
          </c:extLst>
        </c:ser>
        <c:ser>
          <c:idx val="9"/>
          <c:order val="11"/>
          <c:tx>
            <c:strRef>
              <c:f>Grafer!$B$1174</c:f>
              <c:strCache>
                <c:ptCount val="1"/>
                <c:pt idx="0">
                  <c:v>El (varmepumper, elpatroner)</c:v>
                </c:pt>
              </c:strCache>
            </c:strRef>
          </c:tx>
          <c:invertIfNegative val="0"/>
          <c:cat>
            <c:strRef>
              <c:f>Grafer!$C$1162:$D$1162</c:f>
              <c:strCache>
                <c:ptCount val="2"/>
                <c:pt idx="0">
                  <c:v>Produktion</c:v>
                </c:pt>
                <c:pt idx="1">
                  <c:v>Forbrug</c:v>
                </c:pt>
              </c:strCache>
            </c:strRef>
          </c:cat>
          <c:val>
            <c:numRef>
              <c:f>Grafer!$C$1174:$D$1174</c:f>
              <c:numCache>
                <c:formatCode>#,##0</c:formatCode>
                <c:ptCount val="2"/>
                <c:pt idx="0">
                  <c:v>0</c:v>
                </c:pt>
              </c:numCache>
            </c:numRef>
          </c:val>
          <c:extLst xmlns:c16r2="http://schemas.microsoft.com/office/drawing/2015/06/chart">
            <c:ext xmlns:c16="http://schemas.microsoft.com/office/drawing/2014/chart" uri="{C3380CC4-5D6E-409C-BE32-E72D297353CC}">
              <c16:uniqueId val="{0000000B-DDD3-41C4-811E-BC69A14CAE96}"/>
            </c:ext>
          </c:extLst>
        </c:ser>
        <c:ser>
          <c:idx val="11"/>
          <c:order val="12"/>
          <c:tx>
            <c:strRef>
              <c:f>Grafer!$B$1175</c:f>
              <c:strCache>
                <c:ptCount val="1"/>
                <c:pt idx="0">
                  <c:v>Biogas</c:v>
                </c:pt>
              </c:strCache>
            </c:strRef>
          </c:tx>
          <c:invertIfNegative val="0"/>
          <c:cat>
            <c:strRef>
              <c:f>Grafer!$C$1162:$D$1162</c:f>
              <c:strCache>
                <c:ptCount val="2"/>
                <c:pt idx="0">
                  <c:v>Produktion</c:v>
                </c:pt>
                <c:pt idx="1">
                  <c:v>Forbrug</c:v>
                </c:pt>
              </c:strCache>
            </c:strRef>
          </c:cat>
          <c:val>
            <c:numRef>
              <c:f>Grafer!$C$1175:$D$1175</c:f>
              <c:numCache>
                <c:formatCode>#,##0</c:formatCode>
                <c:ptCount val="2"/>
                <c:pt idx="0">
                  <c:v>0</c:v>
                </c:pt>
              </c:numCache>
            </c:numRef>
          </c:val>
          <c:extLst xmlns:c16r2="http://schemas.microsoft.com/office/drawing/2015/06/chart">
            <c:ext xmlns:c16="http://schemas.microsoft.com/office/drawing/2014/chart" uri="{C3380CC4-5D6E-409C-BE32-E72D297353CC}">
              <c16:uniqueId val="{0000000C-DDD3-41C4-811E-BC69A14CAE96}"/>
            </c:ext>
          </c:extLst>
        </c:ser>
        <c:ser>
          <c:idx val="12"/>
          <c:order val="13"/>
          <c:tx>
            <c:strRef>
              <c:f>Grafer!$B$1176</c:f>
              <c:strCache>
                <c:ptCount val="1"/>
                <c:pt idx="0">
                  <c:v>Solenergi</c:v>
                </c:pt>
              </c:strCache>
            </c:strRef>
          </c:tx>
          <c:invertIfNegative val="0"/>
          <c:cat>
            <c:strRef>
              <c:f>Grafer!$C$1162:$D$1162</c:f>
              <c:strCache>
                <c:ptCount val="2"/>
                <c:pt idx="0">
                  <c:v>Produktion</c:v>
                </c:pt>
                <c:pt idx="1">
                  <c:v>Forbrug</c:v>
                </c:pt>
              </c:strCache>
            </c:strRef>
          </c:cat>
          <c:val>
            <c:numRef>
              <c:f>Grafer!$C$1176:$D$1176</c:f>
              <c:numCache>
                <c:formatCode>#,##0</c:formatCode>
                <c:ptCount val="2"/>
                <c:pt idx="0">
                  <c:v>0</c:v>
                </c:pt>
              </c:numCache>
            </c:numRef>
          </c:val>
          <c:extLst xmlns:c16r2="http://schemas.microsoft.com/office/drawing/2015/06/chart">
            <c:ext xmlns:c16="http://schemas.microsoft.com/office/drawing/2014/chart" uri="{C3380CC4-5D6E-409C-BE32-E72D297353CC}">
              <c16:uniqueId val="{0000000D-DDD3-41C4-811E-BC69A14CAE96}"/>
            </c:ext>
          </c:extLst>
        </c:ser>
        <c:ser>
          <c:idx val="5"/>
          <c:order val="14"/>
          <c:tx>
            <c:strRef>
              <c:f>Grafer!$B$1177</c:f>
              <c:strCache>
                <c:ptCount val="1"/>
                <c:pt idx="0">
                  <c:v>Geotermi</c:v>
                </c:pt>
              </c:strCache>
            </c:strRef>
          </c:tx>
          <c:spPr>
            <a:solidFill>
              <a:schemeClr val="bg2">
                <a:lumMod val="50000"/>
              </a:schemeClr>
            </a:solidFill>
          </c:spPr>
          <c:invertIfNegative val="0"/>
          <c:cat>
            <c:strRef>
              <c:f>Grafer!$C$1162:$D$1162</c:f>
              <c:strCache>
                <c:ptCount val="2"/>
                <c:pt idx="0">
                  <c:v>Produktion</c:v>
                </c:pt>
                <c:pt idx="1">
                  <c:v>Forbrug</c:v>
                </c:pt>
              </c:strCache>
            </c:strRef>
          </c:cat>
          <c:val>
            <c:numRef>
              <c:f>Grafer!$C$1177:$D$1177</c:f>
              <c:numCache>
                <c:formatCode>#,##0</c:formatCode>
                <c:ptCount val="2"/>
                <c:pt idx="0">
                  <c:v>0</c:v>
                </c:pt>
              </c:numCache>
            </c:numRef>
          </c:val>
          <c:extLst xmlns:c16r2="http://schemas.microsoft.com/office/drawing/2015/06/chart">
            <c:ext xmlns:c16="http://schemas.microsoft.com/office/drawing/2014/chart" uri="{C3380CC4-5D6E-409C-BE32-E72D297353CC}">
              <c16:uniqueId val="{0000000E-DDD3-41C4-811E-BC69A14CAE96}"/>
            </c:ext>
          </c:extLst>
        </c:ser>
        <c:ser>
          <c:idx val="15"/>
          <c:order val="15"/>
          <c:tx>
            <c:strRef>
              <c:f>Grafer!$B$1178</c:f>
              <c:strCache>
                <c:ptCount val="1"/>
                <c:pt idx="0">
                  <c:v>Overskudsvarme</c:v>
                </c:pt>
              </c:strCache>
            </c:strRef>
          </c:tx>
          <c:spPr>
            <a:solidFill>
              <a:schemeClr val="accent6">
                <a:lumMod val="60000"/>
                <a:lumOff val="40000"/>
              </a:schemeClr>
            </a:solidFill>
          </c:spPr>
          <c:invertIfNegative val="0"/>
          <c:cat>
            <c:strRef>
              <c:f>Grafer!$C$1162:$D$1162</c:f>
              <c:strCache>
                <c:ptCount val="2"/>
                <c:pt idx="0">
                  <c:v>Produktion</c:v>
                </c:pt>
                <c:pt idx="1">
                  <c:v>Forbrug</c:v>
                </c:pt>
              </c:strCache>
            </c:strRef>
          </c:cat>
          <c:val>
            <c:numRef>
              <c:f>Grafer!$C$1178:$D$1178</c:f>
              <c:numCache>
                <c:formatCode>#,##0</c:formatCode>
                <c:ptCount val="2"/>
                <c:pt idx="0">
                  <c:v>0</c:v>
                </c:pt>
              </c:numCache>
            </c:numRef>
          </c:val>
          <c:extLst xmlns:c16r2="http://schemas.microsoft.com/office/drawing/2015/06/char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461714032"/>
        <c:axId val="461717952"/>
      </c:barChart>
      <c:catAx>
        <c:axId val="461714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7952"/>
        <c:crosses val="autoZero"/>
        <c:auto val="1"/>
        <c:lblAlgn val="ctr"/>
        <c:lblOffset val="100"/>
        <c:noMultiLvlLbl val="0"/>
      </c:catAx>
      <c:valAx>
        <c:axId val="461717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403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88" l="0.70000000000000062" r="0.70000000000000062" t="0.7500000000000118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Grafer!$B$643</c:f>
              <c:strCache>
                <c:ptCount val="1"/>
                <c:pt idx="0">
                  <c:v>Individuel opvarmning</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Grafer!$C$643:$E$643</c15:sqref>
                  </c15:fullRef>
                </c:ext>
              </c:extLst>
              <c:f>(Grafer!$C$643,Grafer!$E$643)</c:f>
              <c:numCache>
                <c:formatCode>#,##0</c:formatCode>
                <c:ptCount val="2"/>
                <c:pt idx="0">
                  <c:v>31.159299999999998</c:v>
                </c:pt>
                <c:pt idx="1">
                  <c:v>15.64992</c:v>
                </c:pt>
              </c:numCache>
            </c:numRef>
          </c:val>
          <c:extLst xmlns:c16r2="http://schemas.microsoft.com/office/drawing/2015/06/chart">
            <c:ext xmlns:c16="http://schemas.microsoft.com/office/drawing/2014/chart" uri="{C3380CC4-5D6E-409C-BE32-E72D297353CC}">
              <c16:uniqueId val="{00000000-7010-47D2-A9CC-02D48174ADBF}"/>
            </c:ext>
          </c:extLst>
        </c:ser>
        <c:ser>
          <c:idx val="1"/>
          <c:order val="1"/>
          <c:tx>
            <c:strRef>
              <c:f>Grafer!$B$644</c:f>
              <c:strCache>
                <c:ptCount val="1"/>
                <c:pt idx="0">
                  <c:v>Kollektiv el- og varmeforsyning</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Grafer!$C$644:$E$644</c15:sqref>
                  </c15:fullRef>
                </c:ext>
              </c:extLst>
              <c:f>(Grafer!$C$644,Grafer!$E$644)</c:f>
              <c:numCache>
                <c:formatCode>#,##0</c:formatCode>
                <c:ptCount val="2"/>
                <c:pt idx="0">
                  <c:v>12.205934999999998</c:v>
                </c:pt>
                <c:pt idx="1">
                  <c:v>5.5004481000000007</c:v>
                </c:pt>
              </c:numCache>
            </c:numRef>
          </c:val>
          <c:extLst xmlns:c16r2="http://schemas.microsoft.com/office/drawing/2015/06/chart">
            <c:ext xmlns:c16="http://schemas.microsoft.com/office/drawing/2014/chart" uri="{C3380CC4-5D6E-409C-BE32-E72D297353CC}">
              <c16:uniqueId val="{00000001-7010-47D2-A9CC-02D48174ADBF}"/>
            </c:ext>
          </c:extLst>
        </c:ser>
        <c:ser>
          <c:idx val="2"/>
          <c:order val="2"/>
          <c:tx>
            <c:strRef>
              <c:f>Grafer!$B$645</c:f>
              <c:strCache>
                <c:ptCount val="1"/>
                <c:pt idx="0">
                  <c:v>Industri</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Grafer!$C$645:$E$645</c15:sqref>
                  </c15:fullRef>
                </c:ext>
              </c:extLst>
              <c:f>(Grafer!$C$645,Grafer!$E$645)</c:f>
              <c:numCache>
                <c:formatCode>#,##0</c:formatCode>
                <c:ptCount val="2"/>
                <c:pt idx="0">
                  <c:v>44.493400000000001</c:v>
                </c:pt>
                <c:pt idx="1">
                  <c:v>44.493400000000001</c:v>
                </c:pt>
              </c:numCache>
            </c:numRef>
          </c:val>
          <c:extLst xmlns:c16r2="http://schemas.microsoft.com/office/drawing/2015/06/chart">
            <c:ext xmlns:c16="http://schemas.microsoft.com/office/drawing/2014/chart" uri="{C3380CC4-5D6E-409C-BE32-E72D297353CC}">
              <c16:uniqueId val="{00000002-7010-47D2-A9CC-02D48174ADBF}"/>
            </c:ext>
          </c:extLst>
        </c:ser>
        <c:ser>
          <c:idx val="3"/>
          <c:order val="3"/>
          <c:tx>
            <c:strRef>
              <c:f>Grafer!$B$646</c:f>
              <c:strCache>
                <c:ptCount val="1"/>
                <c:pt idx="0">
                  <c:v>Transport</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Grafer!$C$646:$E$646</c15:sqref>
                  </c15:fullRef>
                </c:ext>
              </c:extLst>
              <c:f>(Grafer!$C$646,Grafer!$E$646)</c:f>
              <c:numCache>
                <c:formatCode>#,##0</c:formatCode>
                <c:ptCount val="2"/>
                <c:pt idx="0">
                  <c:v>264.93598910000003</c:v>
                </c:pt>
                <c:pt idx="1">
                  <c:v>155.97907681999999</c:v>
                </c:pt>
              </c:numCache>
            </c:numRef>
          </c:val>
          <c:extLst xmlns:c16r2="http://schemas.microsoft.com/office/drawing/2015/06/chart">
            <c:ext xmlns:c16="http://schemas.microsoft.com/office/drawing/2014/chart" uri="{C3380CC4-5D6E-409C-BE32-E72D297353CC}">
              <c16:uniqueId val="{00000003-7010-47D2-A9CC-02D48174ADBF}"/>
            </c:ext>
          </c:extLst>
        </c:ser>
        <c:ser>
          <c:idx val="4"/>
          <c:order val="4"/>
          <c:tx>
            <c:strRef>
              <c:f>Grafer!$B$647</c:f>
              <c:strCache>
                <c:ptCount val="1"/>
                <c:pt idx="0">
                  <c:v>Vindkraft mm.</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Grafer!$C$647:$E$647</c15:sqref>
                  </c15:fullRef>
                </c:ext>
              </c:extLst>
              <c:f>(Grafer!$C$647,Grafer!$E$647)</c:f>
              <c:numCache>
                <c:formatCode>#,##0</c:formatCode>
                <c:ptCount val="2"/>
              </c:numCache>
            </c:numRef>
          </c:val>
          <c:extLst xmlns:c16r2="http://schemas.microsoft.com/office/drawing/2015/06/chart">
            <c:ext xmlns:c16="http://schemas.microsoft.com/office/drawing/2014/chart" uri="{C3380CC4-5D6E-409C-BE32-E72D297353CC}">
              <c16:uniqueId val="{00000004-7010-47D2-A9CC-02D48174ADBF}"/>
            </c:ext>
          </c:extLst>
        </c:ser>
        <c:ser>
          <c:idx val="5"/>
          <c:order val="5"/>
          <c:tx>
            <c:strRef>
              <c:f>Grafer!$B$648</c:f>
              <c:strCache>
                <c:ptCount val="1"/>
                <c:pt idx="0">
                  <c:v>El-import</c:v>
                </c:pt>
              </c:strCache>
            </c:strRef>
          </c:tx>
          <c:invertIfNegative val="0"/>
          <c:cat>
            <c:strRef>
              <c:extLst>
                <c:ext xmlns:c15="http://schemas.microsoft.com/office/drawing/2012/chart" uri="{02D57815-91ED-43cb-92C2-25804820EDAC}">
                  <c15:fullRef>
                    <c15:sqref>Grafer!$C$642:$E$642</c15:sqref>
                  </c15:fullRef>
                </c:ext>
              </c:extLst>
              <c:f>(Grafer!$C$642,Grafer!$E$642)</c:f>
              <c:strCache>
                <c:ptCount val="2"/>
                <c:pt idx="0">
                  <c:v>2018</c:v>
                </c:pt>
                <c:pt idx="1">
                  <c:v>BAU2050</c:v>
                </c:pt>
              </c:strCache>
            </c:strRef>
          </c:cat>
          <c:val>
            <c:numRef>
              <c:extLst>
                <c:ext xmlns:c15="http://schemas.microsoft.com/office/drawing/2012/chart" uri="{02D57815-91ED-43cb-92C2-25804820EDAC}">
                  <c15:fullRef>
                    <c15:sqref>Grafer!$C$648:$E$648</c15:sqref>
                  </c15:fullRef>
                </c:ext>
              </c:extLst>
              <c:f>(Grafer!$C$648,Grafer!$E$648)</c:f>
              <c:numCache>
                <c:formatCode>#,##0</c:formatCode>
                <c:ptCount val="2"/>
                <c:pt idx="0">
                  <c:v>-16.253355625390768</c:v>
                </c:pt>
                <c:pt idx="1">
                  <c:v>0</c:v>
                </c:pt>
              </c:numCache>
            </c:numRef>
          </c:val>
          <c:extLst xmlns:c16r2="http://schemas.microsoft.com/office/drawing/2015/06/chart">
            <c:ext xmlns:c16="http://schemas.microsoft.com/office/drawing/2014/chart" uri="{C3380CC4-5D6E-409C-BE32-E72D297353CC}">
              <c16:uniqueId val="{00000005-7010-47D2-A9CC-02D48174ADBF}"/>
            </c:ext>
          </c:extLst>
        </c:ser>
        <c:dLbls>
          <c:showLegendKey val="0"/>
          <c:showVal val="0"/>
          <c:showCatName val="0"/>
          <c:showSerName val="0"/>
          <c:showPercent val="0"/>
          <c:showBubbleSize val="0"/>
        </c:dLbls>
        <c:gapWidth val="150"/>
        <c:overlap val="100"/>
        <c:axId val="461715208"/>
        <c:axId val="461715600"/>
      </c:barChart>
      <c:catAx>
        <c:axId val="461715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5600"/>
        <c:crosses val="autoZero"/>
        <c:auto val="1"/>
        <c:lblAlgn val="ctr"/>
        <c:lblOffset val="100"/>
        <c:noMultiLvlLbl val="0"/>
      </c:catAx>
      <c:valAx>
        <c:axId val="46171560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5208"/>
        <c:crosses val="autoZero"/>
        <c:crossBetween val="between"/>
      </c:valAx>
    </c:plotArea>
    <c:legend>
      <c:legendPos val="r"/>
      <c:legendEntry>
        <c:idx val="1"/>
        <c:delete val="1"/>
      </c:legendEntry>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99" l="0.70000000000000062" r="0.70000000000000062" t="0.75000000000001199"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7805002400348324"/>
          <c:h val="0.89395492112495856"/>
        </c:manualLayout>
      </c:layout>
      <c:barChart>
        <c:barDir val="col"/>
        <c:grouping val="stacked"/>
        <c:varyColors val="0"/>
        <c:ser>
          <c:idx val="10"/>
          <c:order val="9"/>
          <c:tx>
            <c:strRef>
              <c:f>Grafer!$B$112</c:f>
              <c:strCache>
                <c:ptCount val="1"/>
                <c:pt idx="0">
                  <c:v>Vindenergi</c:v>
                </c:pt>
              </c:strCache>
            </c:strRef>
          </c:tx>
          <c:invertIfNegative val="0"/>
          <c:cat>
            <c:strRef>
              <c:f>Grafer!$C$101:$H$101</c:f>
              <c:strCache>
                <c:ptCount val="3"/>
                <c:pt idx="0">
                  <c:v>2018</c:v>
                </c:pt>
                <c:pt idx="1">
                  <c:v>BAU2030</c:v>
                </c:pt>
                <c:pt idx="2">
                  <c:v>BAU2050</c:v>
                </c:pt>
              </c:strCache>
            </c:strRef>
          </c:cat>
          <c:val>
            <c:numRef>
              <c:f>Grafer!$C$112:$H$112</c:f>
              <c:numCache>
                <c:formatCode>#,##0</c:formatCode>
                <c:ptCount val="6"/>
                <c:pt idx="0">
                  <c:v>1209.5999999999999</c:v>
                </c:pt>
                <c:pt idx="1">
                  <c:v>2195.6</c:v>
                </c:pt>
                <c:pt idx="2">
                  <c:v>1489.3999999999999</c:v>
                </c:pt>
              </c:numCache>
            </c:numRef>
          </c:val>
          <c:extLst xmlns:c16r2="http://schemas.microsoft.com/office/drawing/2015/06/chart">
            <c:ext xmlns:c16="http://schemas.microsoft.com/office/drawing/2014/chart" uri="{C3380CC4-5D6E-409C-BE32-E72D297353CC}">
              <c16:uniqueId val="{0000000A-58D3-4D39-8572-DDD875F48875}"/>
            </c:ext>
          </c:extLst>
        </c:ser>
        <c:ser>
          <c:idx val="12"/>
          <c:order val="11"/>
          <c:tx>
            <c:strRef>
              <c:f>Grafer!$B$114</c:f>
              <c:strCache>
                <c:ptCount val="1"/>
                <c:pt idx="0">
                  <c:v>Solenergi</c:v>
                </c:pt>
              </c:strCache>
            </c:strRef>
          </c:tx>
          <c:invertIfNegative val="0"/>
          <c:cat>
            <c:strRef>
              <c:f>Grafer!$C$101:$H$101</c:f>
              <c:strCache>
                <c:ptCount val="3"/>
                <c:pt idx="0">
                  <c:v>2018</c:v>
                </c:pt>
                <c:pt idx="1">
                  <c:v>BAU2030</c:v>
                </c:pt>
                <c:pt idx="2">
                  <c:v>BAU2050</c:v>
                </c:pt>
              </c:strCache>
            </c:strRef>
          </c:cat>
          <c:val>
            <c:numRef>
              <c:f>Grafer!$C$114:$H$114</c:f>
              <c:numCache>
                <c:formatCode>#,##0</c:formatCode>
                <c:ptCount val="6"/>
                <c:pt idx="0">
                  <c:v>73.099999999999994</c:v>
                </c:pt>
                <c:pt idx="1">
                  <c:v>237.26000000000002</c:v>
                </c:pt>
                <c:pt idx="2">
                  <c:v>237.26000000000002</c:v>
                </c:pt>
              </c:numCache>
            </c:numRef>
          </c:val>
          <c:extLst xmlns:c16r2="http://schemas.microsoft.com/office/drawing/2015/06/chart">
            <c:ext xmlns:c16="http://schemas.microsoft.com/office/drawing/2014/chart" uri="{C3380CC4-5D6E-409C-BE32-E72D297353CC}">
              <c16:uniqueId val="{0000000C-58D3-4D39-8572-DDD875F48875}"/>
            </c:ext>
          </c:extLst>
        </c:ser>
        <c:ser>
          <c:idx val="13"/>
          <c:order val="13"/>
          <c:tx>
            <c:strRef>
              <c:f>Grafer!$B$116</c:f>
              <c:strCache>
                <c:ptCount val="1"/>
                <c:pt idx="0">
                  <c:v>Elimport (VE-baseret)</c:v>
                </c:pt>
              </c:strCache>
            </c:strRef>
          </c:tx>
          <c:spPr>
            <a:solidFill>
              <a:srgbClr val="C6D6AC"/>
            </a:solidFill>
          </c:spPr>
          <c:invertIfNegative val="0"/>
          <c:cat>
            <c:strRef>
              <c:f>Grafer!$C$101:$H$101</c:f>
              <c:strCache>
                <c:ptCount val="3"/>
                <c:pt idx="0">
                  <c:v>2018</c:v>
                </c:pt>
                <c:pt idx="1">
                  <c:v>BAU2030</c:v>
                </c:pt>
                <c:pt idx="2">
                  <c:v>BAU2050</c:v>
                </c:pt>
              </c:strCache>
            </c:strRef>
          </c:cat>
          <c:val>
            <c:numRef>
              <c:f>Grafer!$C$116:$H$116</c:f>
              <c:numCache>
                <c:formatCode>#,##0</c:formatCode>
                <c:ptCount val="6"/>
                <c:pt idx="0">
                  <c:v>-57.61743856890056</c:v>
                </c:pt>
                <c:pt idx="1">
                  <c:v>-392.29698924414072</c:v>
                </c:pt>
                <c:pt idx="2">
                  <c:v>382.89561361760877</c:v>
                </c:pt>
              </c:numCache>
            </c:numRef>
          </c:val>
          <c:extLst xmlns:c16r2="http://schemas.microsoft.com/office/drawing/2015/06/chart">
            <c:ext xmlns:c16="http://schemas.microsoft.com/office/drawing/2014/chart" uri="{C3380CC4-5D6E-409C-BE32-E72D297353CC}">
              <c16:uniqueId val="{0000000E-58D3-4D39-8572-DDD875F48875}"/>
            </c:ext>
          </c:extLst>
        </c:ser>
        <c:ser>
          <c:idx val="1"/>
          <c:order val="14"/>
          <c:tx>
            <c:strRef>
              <c:f>Grafer!$B$102</c:f>
              <c:strCache>
                <c:ptCount val="1"/>
                <c:pt idx="0">
                  <c:v>Elimport (fossilbaseret)</c:v>
                </c:pt>
              </c:strCache>
            </c:strRef>
          </c:tx>
          <c:invertIfNegative val="0"/>
          <c:cat>
            <c:strRef>
              <c:f>Grafer!$C$101:$H$101</c:f>
              <c:strCache>
                <c:ptCount val="3"/>
                <c:pt idx="0">
                  <c:v>2018</c:v>
                </c:pt>
                <c:pt idx="1">
                  <c:v>BAU2030</c:v>
                </c:pt>
                <c:pt idx="2">
                  <c:v>BAU2050</c:v>
                </c:pt>
              </c:strCache>
            </c:strRef>
          </c:cat>
          <c:val>
            <c:numRef>
              <c:f>Grafer!$C$102:$H$102</c:f>
              <c:numCache>
                <c:formatCode>#,##0</c:formatCode>
                <c:ptCount val="6"/>
                <c:pt idx="0">
                  <c:v>-73.331285451328</c:v>
                </c:pt>
                <c:pt idx="1">
                  <c:v>-499.28707721981556</c:v>
                </c:pt>
                <c:pt idx="2">
                  <c:v>0</c:v>
                </c:pt>
              </c:numCache>
            </c:numRef>
          </c:val>
          <c:extLst xmlns:c16r2="http://schemas.microsoft.com/office/drawing/2015/06/chart">
            <c:ext xmlns:c16="http://schemas.microsoft.com/office/drawing/2014/chart" uri="{C3380CC4-5D6E-409C-BE32-E72D297353CC}">
              <c16:uniqueId val="{00000000-58D3-4D39-8572-DDD875F48875}"/>
            </c:ext>
          </c:extLst>
        </c:ser>
        <c:dLbls>
          <c:showLegendKey val="0"/>
          <c:showVal val="0"/>
          <c:showCatName val="0"/>
          <c:showSerName val="0"/>
          <c:showPercent val="0"/>
          <c:showBubbleSize val="0"/>
        </c:dLbls>
        <c:gapWidth val="150"/>
        <c:overlap val="100"/>
        <c:axId val="461715992"/>
        <c:axId val="461718736"/>
        <c:extLst xmlns:c16r2="http://schemas.microsoft.com/office/drawing/2015/06/chart">
          <c:ext xmlns:c15="http://schemas.microsoft.com/office/drawing/2012/chart" uri="{02D57815-91ED-43cb-92C2-25804820EDAC}">
            <c15:filteredBarSeries>
              <c15:ser>
                <c:idx val="2"/>
                <c:order val="0"/>
                <c:tx>
                  <c:strRef>
                    <c:extLst xmlns:c16r2="http://schemas.microsoft.com/office/drawing/2015/06/chart">
                      <c:ext uri="{02D57815-91ED-43cb-92C2-25804820EDAC}">
                        <c15:formulaRef>
                          <c15:sqref>Grafer!$B$103</c15:sqref>
                        </c15:formulaRef>
                      </c:ext>
                    </c:extLst>
                    <c:strCache>
                      <c:ptCount val="1"/>
                      <c:pt idx="0">
                        <c:v>Kul</c:v>
                      </c:pt>
                    </c:strCache>
                  </c:strRef>
                </c:tx>
                <c:invertIfNegative val="0"/>
                <c:cat>
                  <c:strRef>
                    <c:extLst xmlns:c16r2="http://schemas.microsoft.com/office/drawing/2015/06/chart">
                      <c:ex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c:ext uri="{02D57815-91ED-43cb-92C2-25804820EDAC}">
                        <c15:formulaRef>
                          <c15:sqref>Grafer!$C$103:$H$103</c15:sqref>
                        </c15:formulaRef>
                      </c:ext>
                    </c:extLst>
                    <c:numCache>
                      <c:formatCode>#,##0</c:formatCode>
                      <c:ptCount val="6"/>
                      <c:pt idx="0">
                        <c:v>9.3000000000000007</c:v>
                      </c:pt>
                      <c:pt idx="1">
                        <c:v>8.9280000000000008</c:v>
                      </c:pt>
                      <c:pt idx="2">
                        <c:v>8.370000000000001</c:v>
                      </c:pt>
                    </c:numCache>
                  </c:numRef>
                </c:val>
                <c:extLst xmlns:c16r2="http://schemas.microsoft.com/office/drawing/2015/06/chart">
                  <c:ext xmlns:c16="http://schemas.microsoft.com/office/drawing/2014/chart" uri="{C3380CC4-5D6E-409C-BE32-E72D297353CC}">
                    <c16:uniqueId val="{00000001-58D3-4D39-8572-DDD875F48875}"/>
                  </c:ext>
                </c:extLst>
              </c15:ser>
            </c15:filteredBarSeries>
            <c15:filteredBarSeries>
              <c15:ser>
                <c:idx val="3"/>
                <c:order val="1"/>
                <c:tx>
                  <c:strRef>
                    <c:extLst xmlns:c16r2="http://schemas.microsoft.com/office/drawing/2015/06/chart" xmlns:c15="http://schemas.microsoft.com/office/drawing/2012/chart">
                      <c:ext xmlns:c15="http://schemas.microsoft.com/office/drawing/2012/chart" uri="{02D57815-91ED-43cb-92C2-25804820EDAC}">
                        <c15:formulaRef>
                          <c15:sqref>Grafer!$B$104</c15:sqref>
                        </c15:formulaRef>
                      </c:ext>
                    </c:extLst>
                    <c:strCache>
                      <c:ptCount val="1"/>
                      <c:pt idx="0">
                        <c:v>Naturgas og LPG</c:v>
                      </c:pt>
                    </c:strCache>
                  </c:strRef>
                </c:tx>
                <c:invertIfNegative val="0"/>
                <c:cat>
                  <c:strRef>
                    <c:extLst xmlns:c16r2="http://schemas.microsoft.com/office/drawing/2015/06/chart" xmlns:c15="http://schemas.microsoft.com/office/drawing/2012/chart">
                      <c:ext xmlns:c15="http://schemas.microsoft.com/office/drawing/2012/char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Grafer!$C$104:$H$104</c15:sqref>
                        </c15:formulaRef>
                      </c:ext>
                    </c:extLst>
                    <c:numCache>
                      <c:formatCode>#,##0</c:formatCode>
                      <c:ptCount val="6"/>
                      <c:pt idx="0">
                        <c:v>1281.4999999999998</c:v>
                      </c:pt>
                      <c:pt idx="1">
                        <c:v>1088.4923199999998</c:v>
                      </c:pt>
                      <c:pt idx="2">
                        <c:v>1084.8837999999998</c:v>
                      </c:pt>
                    </c:numCache>
                  </c:numRef>
                </c:val>
                <c:extLst xmlns:c16r2="http://schemas.microsoft.com/office/drawing/2015/06/chart" xmlns:c15="http://schemas.microsoft.com/office/drawing/2012/chart">
                  <c:ext xmlns:c16="http://schemas.microsoft.com/office/drawing/2014/chart" uri="{C3380CC4-5D6E-409C-BE32-E72D297353CC}">
                    <c16:uniqueId val="{00000002-58D3-4D39-8572-DDD875F48875}"/>
                  </c:ext>
                </c:extLst>
              </c15:ser>
            </c15:filteredBarSeries>
            <c15:filteredBarSeries>
              <c15:ser>
                <c:idx val="4"/>
                <c:order val="2"/>
                <c:tx>
                  <c:strRef>
                    <c:extLst xmlns:c16r2="http://schemas.microsoft.com/office/drawing/2015/06/chart" xmlns:c15="http://schemas.microsoft.com/office/drawing/2012/chart">
                      <c:ext xmlns:c15="http://schemas.microsoft.com/office/drawing/2012/chart" uri="{02D57815-91ED-43cb-92C2-25804820EDAC}">
                        <c15:formulaRef>
                          <c15:sqref>Grafer!$B$105</c15:sqref>
                        </c15:formulaRef>
                      </c:ext>
                    </c:extLst>
                    <c:strCache>
                      <c:ptCount val="1"/>
                      <c:pt idx="0">
                        <c:v>Fuelolie</c:v>
                      </c:pt>
                    </c:strCache>
                  </c:strRef>
                </c:tx>
                <c:invertIfNegative val="0"/>
                <c:cat>
                  <c:strRef>
                    <c:extLst xmlns:c16r2="http://schemas.microsoft.com/office/drawing/2015/06/chart" xmlns:c15="http://schemas.microsoft.com/office/drawing/2012/chart">
                      <c:ext xmlns:c15="http://schemas.microsoft.com/office/drawing/2012/char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Grafer!$C$105:$H$105</c15:sqref>
                        </c15:formulaRef>
                      </c:ext>
                    </c:extLst>
                    <c:numCache>
                      <c:formatCode>#,##0</c:formatCode>
                      <c:ptCount val="6"/>
                      <c:pt idx="0">
                        <c:v>0.1</c:v>
                      </c:pt>
                      <c:pt idx="1">
                        <c:v>9.5000000000000001E-2</c:v>
                      </c:pt>
                      <c:pt idx="2">
                        <c:v>9.5000000000000001E-2</c:v>
                      </c:pt>
                    </c:numCache>
                  </c:numRef>
                </c:val>
                <c:extLst xmlns:c16r2="http://schemas.microsoft.com/office/drawing/2015/06/chart" xmlns:c15="http://schemas.microsoft.com/office/drawing/2012/chart">
                  <c:ext xmlns:c16="http://schemas.microsoft.com/office/drawing/2014/chart" uri="{C3380CC4-5D6E-409C-BE32-E72D297353CC}">
                    <c16:uniqueId val="{00000003-58D3-4D39-8572-DDD875F48875}"/>
                  </c:ext>
                </c:extLst>
              </c15:ser>
            </c15:filteredBarSeries>
            <c15:filteredBarSeries>
              <c15:ser>
                <c:idx val="5"/>
                <c:order val="3"/>
                <c:tx>
                  <c:strRef>
                    <c:extLst xmlns:c16r2="http://schemas.microsoft.com/office/drawing/2015/06/chart" xmlns:c15="http://schemas.microsoft.com/office/drawing/2012/chart">
                      <c:ext xmlns:c15="http://schemas.microsoft.com/office/drawing/2012/chart" uri="{02D57815-91ED-43cb-92C2-25804820EDAC}">
                        <c15:formulaRef>
                          <c15:sqref>Grafer!$B$106</c15:sqref>
                        </c15:formulaRef>
                      </c:ext>
                    </c:extLst>
                    <c:strCache>
                      <c:ptCount val="1"/>
                      <c:pt idx="0">
                        <c:v>Brændselsolie/diesel</c:v>
                      </c:pt>
                    </c:strCache>
                  </c:strRef>
                </c:tx>
                <c:invertIfNegative val="0"/>
                <c:cat>
                  <c:strRef>
                    <c:extLst xmlns:c16r2="http://schemas.microsoft.com/office/drawing/2015/06/chart" xmlns:c15="http://schemas.microsoft.com/office/drawing/2012/chart">
                      <c:ext xmlns:c15="http://schemas.microsoft.com/office/drawing/2012/char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Grafer!$C$106:$H$106</c15:sqref>
                        </c15:formulaRef>
                      </c:ext>
                    </c:extLst>
                    <c:numCache>
                      <c:formatCode>#,##0</c:formatCode>
                      <c:ptCount val="6"/>
                      <c:pt idx="0">
                        <c:v>2041.9823000000001</c:v>
                      </c:pt>
                      <c:pt idx="1">
                        <c:v>1801.011577</c:v>
                      </c:pt>
                      <c:pt idx="2">
                        <c:v>1059.85546</c:v>
                      </c:pt>
                    </c:numCache>
                  </c:numRef>
                </c:val>
                <c:extLst xmlns:c16r2="http://schemas.microsoft.com/office/drawing/2015/06/chart" xmlns:c15="http://schemas.microsoft.com/office/drawing/2012/chart">
                  <c:ext xmlns:c16="http://schemas.microsoft.com/office/drawing/2014/chart" uri="{C3380CC4-5D6E-409C-BE32-E72D297353CC}">
                    <c16:uniqueId val="{00000004-58D3-4D39-8572-DDD875F48875}"/>
                  </c:ext>
                </c:extLst>
              </c15:ser>
            </c15:filteredBarSeries>
            <c15:filteredBarSeries>
              <c15:ser>
                <c:idx val="14"/>
                <c:order val="4"/>
                <c:tx>
                  <c:strRef>
                    <c:extLst xmlns:c16r2="http://schemas.microsoft.com/office/drawing/2015/06/chart" xmlns:c15="http://schemas.microsoft.com/office/drawing/2012/chart">
                      <c:ext xmlns:c15="http://schemas.microsoft.com/office/drawing/2012/chart" uri="{02D57815-91ED-43cb-92C2-25804820EDAC}">
                        <c15:formulaRef>
                          <c15:sqref>Grafer!$B$107</c15:sqref>
                        </c15:formulaRef>
                      </c:ext>
                    </c:extLst>
                    <c:strCache>
                      <c:ptCount val="1"/>
                      <c:pt idx="0">
                        <c:v>JP1</c:v>
                      </c:pt>
                    </c:strCache>
                  </c:strRef>
                </c:tx>
                <c:spPr>
                  <a:solidFill>
                    <a:srgbClr val="D9AAA9"/>
                  </a:solidFill>
                </c:spPr>
                <c:invertIfNegative val="0"/>
                <c:cat>
                  <c:strRef>
                    <c:extLst xmlns:c16r2="http://schemas.microsoft.com/office/drawing/2015/06/chart" xmlns:c15="http://schemas.microsoft.com/office/drawing/2012/chart">
                      <c:ext xmlns:c15="http://schemas.microsoft.com/office/drawing/2012/char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Grafer!$C$107:$H$107</c15:sqref>
                        </c15:formulaRef>
                      </c:ext>
                    </c:extLst>
                    <c:numCache>
                      <c:formatCode>#,##0</c:formatCode>
                      <c:ptCount val="6"/>
                      <c:pt idx="0">
                        <c:v>760.2</c:v>
                      </c:pt>
                      <c:pt idx="1">
                        <c:v>813.4140000000001</c:v>
                      </c:pt>
                      <c:pt idx="2">
                        <c:v>912.24</c:v>
                      </c:pt>
                    </c:numCache>
                  </c:numRef>
                </c:val>
                <c:extLst xmlns:c16r2="http://schemas.microsoft.com/office/drawing/2015/06/chart" xmlns:c15="http://schemas.microsoft.com/office/drawing/2012/chart">
                  <c:ext xmlns:c16="http://schemas.microsoft.com/office/drawing/2014/chart" uri="{C3380CC4-5D6E-409C-BE32-E72D297353CC}">
                    <c16:uniqueId val="{00000005-58D3-4D39-8572-DDD875F48875}"/>
                  </c:ext>
                </c:extLst>
              </c15:ser>
            </c15:filteredBarSeries>
            <c15:filteredBarSeries>
              <c15:ser>
                <c:idx val="6"/>
                <c:order val="5"/>
                <c:tx>
                  <c:strRef>
                    <c:extLst xmlns:c16r2="http://schemas.microsoft.com/office/drawing/2015/06/chart" xmlns:c15="http://schemas.microsoft.com/office/drawing/2012/chart">
                      <c:ext xmlns:c15="http://schemas.microsoft.com/office/drawing/2012/chart" uri="{02D57815-91ED-43cb-92C2-25804820EDAC}">
                        <c15:formulaRef>
                          <c15:sqref>Grafer!$B$108</c15:sqref>
                        </c15:formulaRef>
                      </c:ext>
                    </c:extLst>
                    <c:strCache>
                      <c:ptCount val="1"/>
                      <c:pt idx="0">
                        <c:v>Benzin</c:v>
                      </c:pt>
                    </c:strCache>
                  </c:strRef>
                </c:tx>
                <c:invertIfNegative val="0"/>
                <c:cat>
                  <c:strRef>
                    <c:extLst xmlns:c16r2="http://schemas.microsoft.com/office/drawing/2015/06/chart" xmlns:c15="http://schemas.microsoft.com/office/drawing/2012/chart">
                      <c:ext xmlns:c15="http://schemas.microsoft.com/office/drawing/2012/char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Grafer!$C$108:$H$108</c15:sqref>
                        </c15:formulaRef>
                      </c:ext>
                    </c:extLst>
                    <c:numCache>
                      <c:formatCode>#,##0</c:formatCode>
                      <c:ptCount val="6"/>
                      <c:pt idx="0">
                        <c:v>996.6413</c:v>
                      </c:pt>
                      <c:pt idx="1">
                        <c:v>787.57062700000006</c:v>
                      </c:pt>
                      <c:pt idx="2">
                        <c:v>200.12826000000001</c:v>
                      </c:pt>
                    </c:numCache>
                  </c:numRef>
                </c:val>
                <c:extLst xmlns:c16r2="http://schemas.microsoft.com/office/drawing/2015/06/chart" xmlns:c15="http://schemas.microsoft.com/office/drawing/2012/chart">
                  <c:ext xmlns:c16="http://schemas.microsoft.com/office/drawing/2014/chart" uri="{C3380CC4-5D6E-409C-BE32-E72D297353CC}">
                    <c16:uniqueId val="{00000006-58D3-4D39-8572-DDD875F48875}"/>
                  </c:ext>
                </c:extLst>
              </c15:ser>
            </c15:filteredBarSeries>
            <c15:filteredBarSeries>
              <c15:ser>
                <c:idx val="7"/>
                <c:order val="6"/>
                <c:tx>
                  <c:strRef>
                    <c:extLst xmlns:c16r2="http://schemas.microsoft.com/office/drawing/2015/06/chart" xmlns:c15="http://schemas.microsoft.com/office/drawing/2012/chart">
                      <c:ext xmlns:c15="http://schemas.microsoft.com/office/drawing/2012/chart" uri="{02D57815-91ED-43cb-92C2-25804820EDAC}">
                        <c15:formulaRef>
                          <c15:sqref>Grafer!$B$109</c15:sqref>
                        </c15:formulaRef>
                      </c:ext>
                    </c:extLst>
                    <c:strCache>
                      <c:ptCount val="1"/>
                      <c:pt idx="0">
                        <c:v>Affald, ikke bionedbrydeligt</c:v>
                      </c:pt>
                    </c:strCache>
                  </c:strRef>
                </c:tx>
                <c:invertIfNegative val="0"/>
                <c:cat>
                  <c:strRef>
                    <c:extLst xmlns:c16r2="http://schemas.microsoft.com/office/drawing/2015/06/chart" xmlns:c15="http://schemas.microsoft.com/office/drawing/2012/chart">
                      <c:ext xmlns:c15="http://schemas.microsoft.com/office/drawing/2012/char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Grafer!$C$109:$H$109</c15:sqref>
                        </c15:formulaRef>
                      </c:ext>
                    </c:extLst>
                    <c:numCache>
                      <c:formatCode>#,##0</c:formatCode>
                      <c:ptCount val="6"/>
                      <c:pt idx="0">
                        <c:v>0</c:v>
                      </c:pt>
                      <c:pt idx="1">
                        <c:v>0</c:v>
                      </c:pt>
                      <c:pt idx="2">
                        <c:v>0</c:v>
                      </c:pt>
                    </c:numCache>
                  </c:numRef>
                </c:val>
                <c:extLst xmlns:c16r2="http://schemas.microsoft.com/office/drawing/2015/06/chart" xmlns:c15="http://schemas.microsoft.com/office/drawing/2012/chart">
                  <c:ext xmlns:c16="http://schemas.microsoft.com/office/drawing/2014/chart" uri="{C3380CC4-5D6E-409C-BE32-E72D297353CC}">
                    <c16:uniqueId val="{00000007-58D3-4D39-8572-DDD875F48875}"/>
                  </c:ext>
                </c:extLst>
              </c15:ser>
            </c15:filteredBarSeries>
            <c15:filteredBarSeries>
              <c15:ser>
                <c:idx val="8"/>
                <c:order val="7"/>
                <c:tx>
                  <c:strRef>
                    <c:extLst xmlns:c16r2="http://schemas.microsoft.com/office/drawing/2015/06/chart" xmlns:c15="http://schemas.microsoft.com/office/drawing/2012/chart">
                      <c:ext xmlns:c15="http://schemas.microsoft.com/office/drawing/2012/chart" uri="{02D57815-91ED-43cb-92C2-25804820EDAC}">
                        <c15:formulaRef>
                          <c15:sqref>Grafer!$B$110</c15:sqref>
                        </c15:formulaRef>
                      </c:ext>
                    </c:extLst>
                    <c:strCache>
                      <c:ptCount val="1"/>
                      <c:pt idx="0">
                        <c:v>Affald, bionedbrydeligt</c:v>
                      </c:pt>
                    </c:strCache>
                  </c:strRef>
                </c:tx>
                <c:invertIfNegative val="0"/>
                <c:cat>
                  <c:strRef>
                    <c:extLst xmlns:c16r2="http://schemas.microsoft.com/office/drawing/2015/06/chart" xmlns:c15="http://schemas.microsoft.com/office/drawing/2012/chart">
                      <c:ext xmlns:c15="http://schemas.microsoft.com/office/drawing/2012/char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Grafer!$C$110:$H$110</c15:sqref>
                        </c15:formulaRef>
                      </c:ext>
                    </c:extLst>
                    <c:numCache>
                      <c:formatCode>#,##0</c:formatCode>
                      <c:ptCount val="6"/>
                      <c:pt idx="0">
                        <c:v>0</c:v>
                      </c:pt>
                      <c:pt idx="1">
                        <c:v>0</c:v>
                      </c:pt>
                      <c:pt idx="2">
                        <c:v>0</c:v>
                      </c:pt>
                    </c:numCache>
                  </c:numRef>
                </c:val>
                <c:extLst xmlns:c16r2="http://schemas.microsoft.com/office/drawing/2015/06/chart" xmlns:c15="http://schemas.microsoft.com/office/drawing/2012/chart">
                  <c:ext xmlns:c16="http://schemas.microsoft.com/office/drawing/2014/chart" uri="{C3380CC4-5D6E-409C-BE32-E72D297353CC}">
                    <c16:uniqueId val="{00000008-58D3-4D39-8572-DDD875F48875}"/>
                  </c:ext>
                </c:extLst>
              </c15:ser>
            </c15:filteredBarSeries>
            <c15:filteredBarSeries>
              <c15:ser>
                <c:idx val="9"/>
                <c:order val="8"/>
                <c:tx>
                  <c:strRef>
                    <c:extLst xmlns:c16r2="http://schemas.microsoft.com/office/drawing/2015/06/chart" xmlns:c15="http://schemas.microsoft.com/office/drawing/2012/chart">
                      <c:ext xmlns:c15="http://schemas.microsoft.com/office/drawing/2012/chart" uri="{02D57815-91ED-43cb-92C2-25804820EDAC}">
                        <c15:formulaRef>
                          <c15:sqref>Grafer!$B$111</c15:sqref>
                        </c15:formulaRef>
                      </c:ext>
                    </c:extLst>
                    <c:strCache>
                      <c:ptCount val="1"/>
                      <c:pt idx="0">
                        <c:v>Biomasse</c:v>
                      </c:pt>
                    </c:strCache>
                  </c:strRef>
                </c:tx>
                <c:invertIfNegative val="0"/>
                <c:cat>
                  <c:strRef>
                    <c:extLst xmlns:c16r2="http://schemas.microsoft.com/office/drawing/2015/06/chart" xmlns:c15="http://schemas.microsoft.com/office/drawing/2012/chart">
                      <c:ext xmlns:c15="http://schemas.microsoft.com/office/drawing/2012/char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Grafer!$C$111:$H$111</c15:sqref>
                        </c15:formulaRef>
                      </c:ext>
                    </c:extLst>
                    <c:numCache>
                      <c:formatCode>#,##0</c:formatCode>
                      <c:ptCount val="6"/>
                      <c:pt idx="0">
                        <c:v>3614.7764000000002</c:v>
                      </c:pt>
                      <c:pt idx="1">
                        <c:v>3489.6524600000002</c:v>
                      </c:pt>
                      <c:pt idx="2">
                        <c:v>3221.9262800000006</c:v>
                      </c:pt>
                    </c:numCache>
                  </c:numRef>
                </c:val>
                <c:extLst xmlns:c16r2="http://schemas.microsoft.com/office/drawing/2015/06/chart" xmlns:c15="http://schemas.microsoft.com/office/drawing/2012/chart">
                  <c:ext xmlns:c16="http://schemas.microsoft.com/office/drawing/2014/chart" uri="{C3380CC4-5D6E-409C-BE32-E72D297353CC}">
                    <c16:uniqueId val="{00000009-58D3-4D39-8572-DDD875F48875}"/>
                  </c:ext>
                </c:extLst>
              </c15:ser>
            </c15:filteredBarSeries>
            <c15:filteredBarSeries>
              <c15:ser>
                <c:idx val="11"/>
                <c:order val="10"/>
                <c:tx>
                  <c:strRef>
                    <c:extLst xmlns:c16r2="http://schemas.microsoft.com/office/drawing/2015/06/chart" xmlns:c15="http://schemas.microsoft.com/office/drawing/2012/chart">
                      <c:ext xmlns:c15="http://schemas.microsoft.com/office/drawing/2012/chart" uri="{02D57815-91ED-43cb-92C2-25804820EDAC}">
                        <c15:formulaRef>
                          <c15:sqref>Grafer!$B$113</c15:sqref>
                        </c15:formulaRef>
                      </c:ext>
                    </c:extLst>
                    <c:strCache>
                      <c:ptCount val="1"/>
                      <c:pt idx="0">
                        <c:v>Biogas</c:v>
                      </c:pt>
                    </c:strCache>
                  </c:strRef>
                </c:tx>
                <c:invertIfNegative val="0"/>
                <c:cat>
                  <c:strRef>
                    <c:extLst xmlns:c16r2="http://schemas.microsoft.com/office/drawing/2015/06/chart" xmlns:c15="http://schemas.microsoft.com/office/drawing/2012/chart">
                      <c:ext xmlns:c15="http://schemas.microsoft.com/office/drawing/2012/char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Grafer!$C$113:$H$113</c15:sqref>
                        </c15:formulaRef>
                      </c:ext>
                    </c:extLst>
                    <c:numCache>
                      <c:formatCode>#,##0</c:formatCode>
                      <c:ptCount val="6"/>
                      <c:pt idx="0">
                        <c:v>30.7</c:v>
                      </c:pt>
                      <c:pt idx="1">
                        <c:v>29.472000000000001</c:v>
                      </c:pt>
                      <c:pt idx="2">
                        <c:v>27.630000000000003</c:v>
                      </c:pt>
                    </c:numCache>
                  </c:numRef>
                </c:val>
                <c:extLst xmlns:c16r2="http://schemas.microsoft.com/office/drawing/2015/06/chart" xmlns:c15="http://schemas.microsoft.com/office/drawing/2012/chart">
                  <c:ext xmlns:c16="http://schemas.microsoft.com/office/drawing/2014/chart" uri="{C3380CC4-5D6E-409C-BE32-E72D297353CC}">
                    <c16:uniqueId val="{0000000B-58D3-4D39-8572-DDD875F48875}"/>
                  </c:ext>
                </c:extLst>
              </c15:ser>
            </c15:filteredBarSeries>
            <c15:filteredBarSeries>
              <c15:ser>
                <c:idx val="0"/>
                <c:order val="12"/>
                <c:tx>
                  <c:strRef>
                    <c:extLst xmlns:c16r2="http://schemas.microsoft.com/office/drawing/2015/06/chart" xmlns:c15="http://schemas.microsoft.com/office/drawing/2012/chart">
                      <c:ext xmlns:c15="http://schemas.microsoft.com/office/drawing/2012/chart" uri="{02D57815-91ED-43cb-92C2-25804820EDAC}">
                        <c15:formulaRef>
                          <c15:sqref>Grafer!$B$115</c15:sqref>
                        </c15:formulaRef>
                      </c:ext>
                    </c:extLst>
                    <c:strCache>
                      <c:ptCount val="1"/>
                      <c:pt idx="0">
                        <c:v>Jordvarme, geotermi, vandkraft mm.</c:v>
                      </c:pt>
                    </c:strCache>
                  </c:strRef>
                </c:tx>
                <c:invertIfNegative val="0"/>
                <c:cat>
                  <c:strRef>
                    <c:extLst xmlns:c16r2="http://schemas.microsoft.com/office/drawing/2015/06/chart" xmlns:c15="http://schemas.microsoft.com/office/drawing/2012/chart">
                      <c:ext xmlns:c15="http://schemas.microsoft.com/office/drawing/2012/chart" uri="{02D57815-91ED-43cb-92C2-25804820EDAC}">
                        <c15:formulaRef>
                          <c15:sqref>Grafer!$C$101:$H$101</c15:sqref>
                        </c15:formulaRef>
                      </c:ext>
                    </c:extLst>
                    <c:strCache>
                      <c:ptCount val="3"/>
                      <c:pt idx="0">
                        <c:v>2018</c:v>
                      </c:pt>
                      <c:pt idx="1">
                        <c:v>BAU2030</c:v>
                      </c:pt>
                      <c:pt idx="2">
                        <c:v>BAU2050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Grafer!$C$115:$H$115</c15:sqref>
                        </c15:formulaRef>
                      </c:ext>
                    </c:extLst>
                    <c:numCache>
                      <c:formatCode>#,##0</c:formatCode>
                      <c:ptCount val="6"/>
                      <c:pt idx="0">
                        <c:v>18</c:v>
                      </c:pt>
                      <c:pt idx="1">
                        <c:v>207.98000000000002</c:v>
                      </c:pt>
                      <c:pt idx="2">
                        <c:v>273</c:v>
                      </c:pt>
                    </c:numCache>
                  </c:numRef>
                </c:val>
                <c:extLst xmlns:c16r2="http://schemas.microsoft.com/office/drawing/2015/06/chart" xmlns:c15="http://schemas.microsoft.com/office/drawing/2012/chart">
                  <c:ext xmlns:c16="http://schemas.microsoft.com/office/drawing/2014/chart" uri="{C3380CC4-5D6E-409C-BE32-E72D297353CC}">
                    <c16:uniqueId val="{0000000D-58D3-4D39-8572-DDD875F48875}"/>
                  </c:ext>
                </c:extLst>
              </c15:ser>
            </c15:filteredBarSeries>
          </c:ext>
        </c:extLst>
      </c:barChart>
      <c:catAx>
        <c:axId val="46171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8736"/>
        <c:crosses val="autoZero"/>
        <c:auto val="1"/>
        <c:lblAlgn val="ctr"/>
        <c:lblOffset val="100"/>
        <c:noMultiLvlLbl val="0"/>
      </c:catAx>
      <c:valAx>
        <c:axId val="46171873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599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7805002400348324"/>
          <c:h val="0.89395492112495856"/>
        </c:manualLayout>
      </c:layout>
      <c:barChart>
        <c:barDir val="col"/>
        <c:grouping val="stacked"/>
        <c:varyColors val="0"/>
        <c:ser>
          <c:idx val="2"/>
          <c:order val="0"/>
          <c:tx>
            <c:strRef>
              <c:f>Grafer!$B$120</c:f>
              <c:strCache>
                <c:ptCount val="1"/>
                <c:pt idx="0">
                  <c:v>Fast Biomasse</c:v>
                </c:pt>
              </c:strCache>
            </c:strRef>
          </c:tx>
          <c:invertIfNegative val="0"/>
          <c:cat>
            <c:strRef>
              <c:extLst>
                <c:ext xmlns:c15="http://schemas.microsoft.com/office/drawing/2012/chart" uri="{02D57815-91ED-43cb-92C2-25804820EDAC}">
                  <c15:fullRef>
                    <c15:sqref>Grafer!$C$101:$E$101</c15:sqref>
                  </c15:fullRef>
                </c:ext>
              </c:extLst>
              <c:f>Grafer!$C$101:$D$101</c:f>
              <c:strCache>
                <c:ptCount val="2"/>
                <c:pt idx="0">
                  <c:v>2018</c:v>
                </c:pt>
                <c:pt idx="1">
                  <c:v>BAU2030</c:v>
                </c:pt>
              </c:strCache>
            </c:strRef>
          </c:cat>
          <c:val>
            <c:numRef>
              <c:extLst>
                <c:ext xmlns:c15="http://schemas.microsoft.com/office/drawing/2012/chart" uri="{02D57815-91ED-43cb-92C2-25804820EDAC}">
                  <c15:fullRef>
                    <c15:sqref>Grafer!$C$120:$E$120</c15:sqref>
                  </c15:fullRef>
                </c:ext>
              </c:extLst>
              <c:f>Grafer!$C$120:$D$120</c:f>
              <c:numCache>
                <c:formatCode>#,##0</c:formatCode>
                <c:ptCount val="2"/>
                <c:pt idx="0">
                  <c:v>3614.7764000000002</c:v>
                </c:pt>
                <c:pt idx="1">
                  <c:v>3489.6524600000002</c:v>
                </c:pt>
              </c:numCache>
            </c:numRef>
          </c:val>
          <c:extLst xmlns:c16r2="http://schemas.microsoft.com/office/drawing/2015/06/chart" xmlns:c15="http://schemas.microsoft.com/office/drawing/2012/chart">
            <c:ext xmlns:c16="http://schemas.microsoft.com/office/drawing/2014/chart" uri="{C3380CC4-5D6E-409C-BE32-E72D297353CC}">
              <c16:uniqueId val="{00000004-0769-4007-B885-F143DD7B5451}"/>
            </c:ext>
          </c:extLst>
        </c:ser>
        <c:ser>
          <c:idx val="0"/>
          <c:order val="1"/>
          <c:tx>
            <c:strRef>
              <c:f>Grafer!$B$121</c:f>
              <c:strCache>
                <c:ptCount val="1"/>
                <c:pt idx="0">
                  <c:v>Biogas</c:v>
                </c:pt>
              </c:strCache>
            </c:strRef>
          </c:tx>
          <c:invertIfNegative val="0"/>
          <c:cat>
            <c:strRef>
              <c:extLst>
                <c:ext xmlns:c15="http://schemas.microsoft.com/office/drawing/2012/chart" uri="{02D57815-91ED-43cb-92C2-25804820EDAC}">
                  <c15:fullRef>
                    <c15:sqref>Grafer!$C$101:$E$101</c15:sqref>
                  </c15:fullRef>
                </c:ext>
              </c:extLst>
              <c:f>Grafer!$C$101:$D$101</c:f>
              <c:strCache>
                <c:ptCount val="2"/>
                <c:pt idx="0">
                  <c:v>2018</c:v>
                </c:pt>
                <c:pt idx="1">
                  <c:v>BAU2030</c:v>
                </c:pt>
              </c:strCache>
            </c:strRef>
          </c:cat>
          <c:val>
            <c:numRef>
              <c:extLst>
                <c:ext xmlns:c15="http://schemas.microsoft.com/office/drawing/2012/chart" uri="{02D57815-91ED-43cb-92C2-25804820EDAC}">
                  <c15:fullRef>
                    <c15:sqref>Grafer!$C$121:$E$121</c15:sqref>
                  </c15:fullRef>
                </c:ext>
              </c:extLst>
              <c:f>Grafer!$C$121:$D$121</c:f>
              <c:numCache>
                <c:formatCode>#,##0</c:formatCode>
                <c:ptCount val="2"/>
                <c:pt idx="0">
                  <c:v>30.7</c:v>
                </c:pt>
                <c:pt idx="1">
                  <c:v>29.472000000000001</c:v>
                </c:pt>
              </c:numCache>
            </c:numRef>
          </c:val>
          <c:extLst xmlns:c16r2="http://schemas.microsoft.com/office/drawing/2015/06/chart">
            <c:ext xmlns:c16="http://schemas.microsoft.com/office/drawing/2014/chart" uri="{C3380CC4-5D6E-409C-BE32-E72D297353CC}">
              <c16:uniqueId val="{00000011-0769-4007-B885-F143DD7B5451}"/>
            </c:ext>
          </c:extLst>
        </c:ser>
        <c:ser>
          <c:idx val="1"/>
          <c:order val="2"/>
          <c:tx>
            <c:strRef>
              <c:f>Grafer!$B$122</c:f>
              <c:strCache>
                <c:ptCount val="1"/>
                <c:pt idx="0">
                  <c:v>Affald</c:v>
                </c:pt>
              </c:strCache>
            </c:strRef>
          </c:tx>
          <c:invertIfNegative val="0"/>
          <c:cat>
            <c:strRef>
              <c:extLst>
                <c:ext xmlns:c15="http://schemas.microsoft.com/office/drawing/2012/chart" uri="{02D57815-91ED-43cb-92C2-25804820EDAC}">
                  <c15:fullRef>
                    <c15:sqref>Grafer!$C$101:$E$101</c15:sqref>
                  </c15:fullRef>
                </c:ext>
              </c:extLst>
              <c:f>Grafer!$C$101:$D$101</c:f>
              <c:strCache>
                <c:ptCount val="2"/>
                <c:pt idx="0">
                  <c:v>2018</c:v>
                </c:pt>
                <c:pt idx="1">
                  <c:v>BAU2030</c:v>
                </c:pt>
              </c:strCache>
            </c:strRef>
          </c:cat>
          <c:val>
            <c:numRef>
              <c:extLst>
                <c:ext xmlns:c15="http://schemas.microsoft.com/office/drawing/2012/chart" uri="{02D57815-91ED-43cb-92C2-25804820EDAC}">
                  <c15:fullRef>
                    <c15:sqref>Grafer!$C$122:$E$122</c15:sqref>
                  </c15:fullRef>
                </c:ext>
              </c:extLst>
              <c:f>Grafer!$C$122:$D$122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12-0769-4007-B885-F143DD7B5451}"/>
            </c:ext>
          </c:extLst>
        </c:ser>
        <c:ser>
          <c:idx val="3"/>
          <c:order val="3"/>
          <c:tx>
            <c:strRef>
              <c:f>Grafer!$B$123</c:f>
              <c:strCache>
                <c:ptCount val="1"/>
                <c:pt idx="0">
                  <c:v>Olie og gas</c:v>
                </c:pt>
              </c:strCache>
            </c:strRef>
          </c:tx>
          <c:invertIfNegative val="0"/>
          <c:cat>
            <c:strRef>
              <c:extLst>
                <c:ext xmlns:c15="http://schemas.microsoft.com/office/drawing/2012/chart" uri="{02D57815-91ED-43cb-92C2-25804820EDAC}">
                  <c15:fullRef>
                    <c15:sqref>Grafer!$C$101:$E$101</c15:sqref>
                  </c15:fullRef>
                </c:ext>
              </c:extLst>
              <c:f>Grafer!$C$101:$D$101</c:f>
              <c:strCache>
                <c:ptCount val="2"/>
                <c:pt idx="0">
                  <c:v>2018</c:v>
                </c:pt>
                <c:pt idx="1">
                  <c:v>BAU2030</c:v>
                </c:pt>
              </c:strCache>
            </c:strRef>
          </c:cat>
          <c:val>
            <c:numRef>
              <c:extLst>
                <c:ext xmlns:c15="http://schemas.microsoft.com/office/drawing/2012/chart" uri="{02D57815-91ED-43cb-92C2-25804820EDAC}">
                  <c15:fullRef>
                    <c15:sqref>Grafer!$C$123:$E$123</c15:sqref>
                  </c15:fullRef>
                </c:ext>
              </c:extLst>
              <c:f>Grafer!$C$123:$D$123</c:f>
              <c:numCache>
                <c:formatCode>#,##0</c:formatCode>
                <c:ptCount val="2"/>
                <c:pt idx="0">
                  <c:v>5089.7236000000003</c:v>
                </c:pt>
                <c:pt idx="1">
                  <c:v>4499.5115239999996</c:v>
                </c:pt>
              </c:numCache>
            </c:numRef>
          </c:val>
          <c:extLst xmlns:c16r2="http://schemas.microsoft.com/office/drawing/2015/06/chart">
            <c:ext xmlns:c16="http://schemas.microsoft.com/office/drawing/2014/chart" uri="{C3380CC4-5D6E-409C-BE32-E72D297353CC}">
              <c16:uniqueId val="{00000013-0769-4007-B885-F143DD7B5451}"/>
            </c:ext>
          </c:extLst>
        </c:ser>
        <c:dLbls>
          <c:showLegendKey val="0"/>
          <c:showVal val="0"/>
          <c:showCatName val="0"/>
          <c:showSerName val="0"/>
          <c:showPercent val="0"/>
          <c:showBubbleSize val="0"/>
        </c:dLbls>
        <c:gapWidth val="150"/>
        <c:overlap val="100"/>
        <c:axId val="461716384"/>
        <c:axId val="462527472"/>
        <c:extLst xmlns:c16r2="http://schemas.microsoft.com/office/drawing/2015/06/chart"/>
      </c:barChart>
      <c:catAx>
        <c:axId val="46171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2527472"/>
        <c:crosses val="autoZero"/>
        <c:auto val="1"/>
        <c:lblAlgn val="ctr"/>
        <c:lblOffset val="100"/>
        <c:noMultiLvlLbl val="0"/>
      </c:catAx>
      <c:valAx>
        <c:axId val="4625274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171638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da-DK"/>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'Landbrug + Sammen fatning'!$A$3</c:f>
              <c:strCache>
                <c:ptCount val="1"/>
                <c:pt idx="0">
                  <c:v>Planteavl</c:v>
                </c:pt>
              </c:strCache>
            </c:strRef>
          </c:tx>
          <c:invertIfNegative val="0"/>
          <c:cat>
            <c:strRef>
              <c:extLst>
                <c:ext xmlns:c15="http://schemas.microsoft.com/office/drawing/2012/chart" uri="{02D57815-91ED-43cb-92C2-25804820EDAC}">
                  <c15:fullRef>
                    <c15:sqref>'Landbrug + Sammen fatning'!$B$2:$E$2</c15:sqref>
                  </c15:fullRef>
                </c:ext>
              </c:extLst>
              <c:f>'Landbrug + Sammen fatning'!$C$2:$D$2</c:f>
              <c:strCache>
                <c:ptCount val="2"/>
                <c:pt idx="0">
                  <c:v>2018</c:v>
                </c:pt>
                <c:pt idx="1">
                  <c:v>BAU 2030</c:v>
                </c:pt>
              </c:strCache>
            </c:strRef>
          </c:cat>
          <c:val>
            <c:numRef>
              <c:extLst>
                <c:ext xmlns:c15="http://schemas.microsoft.com/office/drawing/2012/chart" uri="{02D57815-91ED-43cb-92C2-25804820EDAC}">
                  <c15:fullRef>
                    <c15:sqref>'Landbrug + Sammen fatning'!$B$3:$E$3</c15:sqref>
                  </c15:fullRef>
                </c:ext>
              </c:extLst>
              <c:f>'Landbrug + Sammen fatning'!$C$3:$D$3</c:f>
              <c:numCache>
                <c:formatCode>0</c:formatCode>
                <c:ptCount val="2"/>
                <c:pt idx="0">
                  <c:v>79.82969496614551</c:v>
                </c:pt>
                <c:pt idx="1">
                  <c:v>79.82969496614551</c:v>
                </c:pt>
              </c:numCache>
            </c:numRef>
          </c:val>
          <c:extLst xmlns:c16r2="http://schemas.microsoft.com/office/drawing/2015/06/chart">
            <c:ext xmlns:c16="http://schemas.microsoft.com/office/drawing/2014/chart" uri="{C3380CC4-5D6E-409C-BE32-E72D297353CC}">
              <c16:uniqueId val="{00000000-A68B-44B0-BDAD-F66ACA67E1D0}"/>
            </c:ext>
          </c:extLst>
        </c:ser>
        <c:ser>
          <c:idx val="1"/>
          <c:order val="1"/>
          <c:tx>
            <c:strRef>
              <c:f>'Landbrug + Sammen fatning'!$A$4</c:f>
              <c:strCache>
                <c:ptCount val="1"/>
                <c:pt idx="0">
                  <c:v>Dyrehold</c:v>
                </c:pt>
              </c:strCache>
            </c:strRef>
          </c:tx>
          <c:invertIfNegative val="0"/>
          <c:cat>
            <c:strRef>
              <c:extLst>
                <c:ext xmlns:c15="http://schemas.microsoft.com/office/drawing/2012/chart" uri="{02D57815-91ED-43cb-92C2-25804820EDAC}">
                  <c15:fullRef>
                    <c15:sqref>'Landbrug + Sammen fatning'!$B$2:$E$2</c15:sqref>
                  </c15:fullRef>
                </c:ext>
              </c:extLst>
              <c:f>'Landbrug + Sammen fatning'!$C$2:$D$2</c:f>
              <c:strCache>
                <c:ptCount val="2"/>
                <c:pt idx="0">
                  <c:v>2018</c:v>
                </c:pt>
                <c:pt idx="1">
                  <c:v>BAU 2030</c:v>
                </c:pt>
              </c:strCache>
            </c:strRef>
          </c:cat>
          <c:val>
            <c:numRef>
              <c:extLst>
                <c:ext xmlns:c15="http://schemas.microsoft.com/office/drawing/2012/chart" uri="{02D57815-91ED-43cb-92C2-25804820EDAC}">
                  <c15:fullRef>
                    <c15:sqref>'Landbrug + Sammen fatning'!$B$4:$E$4</c15:sqref>
                  </c15:fullRef>
                </c:ext>
              </c:extLst>
              <c:f>'Landbrug + Sammen fatning'!$C$4:$D$4</c:f>
              <c:numCache>
                <c:formatCode>0</c:formatCode>
                <c:ptCount val="2"/>
                <c:pt idx="0">
                  <c:v>105.05075526334019</c:v>
                </c:pt>
                <c:pt idx="1">
                  <c:v>104.88876526334019</c:v>
                </c:pt>
              </c:numCache>
            </c:numRef>
          </c:val>
          <c:extLst xmlns:c16r2="http://schemas.microsoft.com/office/drawing/2015/06/chart">
            <c:ext xmlns:c16="http://schemas.microsoft.com/office/drawing/2014/chart" uri="{C3380CC4-5D6E-409C-BE32-E72D297353CC}">
              <c16:uniqueId val="{00000001-A68B-44B0-BDAD-F66ACA67E1D0}"/>
            </c:ext>
          </c:extLst>
        </c:ser>
        <c:ser>
          <c:idx val="2"/>
          <c:order val="2"/>
          <c:tx>
            <c:strRef>
              <c:f>'Landbrug + Sammen fatning'!$A$6</c:f>
              <c:strCache>
                <c:ptCount val="1"/>
                <c:pt idx="0">
                  <c:v>Arealanvendelse</c:v>
                </c:pt>
              </c:strCache>
            </c:strRef>
          </c:tx>
          <c:invertIfNegative val="0"/>
          <c:cat>
            <c:strRef>
              <c:extLst>
                <c:ext xmlns:c15="http://schemas.microsoft.com/office/drawing/2012/chart" uri="{02D57815-91ED-43cb-92C2-25804820EDAC}">
                  <c15:fullRef>
                    <c15:sqref>'Landbrug + Sammen fatning'!$B$2:$E$2</c15:sqref>
                  </c15:fullRef>
                </c:ext>
              </c:extLst>
              <c:f>'Landbrug + Sammen fatning'!$C$2:$D$2</c:f>
              <c:strCache>
                <c:ptCount val="2"/>
                <c:pt idx="0">
                  <c:v>2018</c:v>
                </c:pt>
                <c:pt idx="1">
                  <c:v>BAU 2030</c:v>
                </c:pt>
              </c:strCache>
            </c:strRef>
          </c:cat>
          <c:val>
            <c:numRef>
              <c:extLst>
                <c:ext xmlns:c15="http://schemas.microsoft.com/office/drawing/2012/chart" uri="{02D57815-91ED-43cb-92C2-25804820EDAC}">
                  <c15:fullRef>
                    <c15:sqref>'Landbrug + Sammen fatning'!$B$5:$E$5</c15:sqref>
                  </c15:fullRef>
                </c:ext>
              </c:extLst>
              <c:f>'Landbrug + Sammen fatning'!$C$5:$D$5</c:f>
              <c:numCache>
                <c:formatCode>0</c:formatCode>
                <c:ptCount val="2"/>
                <c:pt idx="0">
                  <c:v>13.272394849247927</c:v>
                </c:pt>
                <c:pt idx="1">
                  <c:v>13.272394849247927</c:v>
                </c:pt>
              </c:numCache>
            </c:numRef>
          </c:val>
          <c:extLst xmlns:c16r2="http://schemas.microsoft.com/office/drawing/2015/06/chart">
            <c:ext xmlns:c16="http://schemas.microsoft.com/office/drawing/2014/chart" uri="{C3380CC4-5D6E-409C-BE32-E72D297353CC}">
              <c16:uniqueId val="{00000002-A68B-44B0-BDAD-F66ACA67E1D0}"/>
            </c:ext>
          </c:extLst>
        </c:ser>
        <c:ser>
          <c:idx val="3"/>
          <c:order val="3"/>
          <c:tx>
            <c:strRef>
              <c:f>'Landbrug + Sammen fatning'!$A$5</c:f>
              <c:strCache>
                <c:ptCount val="1"/>
                <c:pt idx="0">
                  <c:v>Industrielle processer</c:v>
                </c:pt>
              </c:strCache>
            </c:strRef>
          </c:tx>
          <c:invertIfNegative val="0"/>
          <c:cat>
            <c:strRef>
              <c:extLst>
                <c:ext xmlns:c15="http://schemas.microsoft.com/office/drawing/2012/chart" uri="{02D57815-91ED-43cb-92C2-25804820EDAC}">
                  <c15:fullRef>
                    <c15:sqref>'Landbrug + Sammen fatning'!$B$2:$E$2</c15:sqref>
                  </c15:fullRef>
                </c:ext>
              </c:extLst>
              <c:f>'Landbrug + Sammen fatning'!$C$2:$D$2</c:f>
              <c:strCache>
                <c:ptCount val="2"/>
                <c:pt idx="0">
                  <c:v>2018</c:v>
                </c:pt>
                <c:pt idx="1">
                  <c:v>BAU 2030</c:v>
                </c:pt>
              </c:strCache>
            </c:strRef>
          </c:cat>
          <c:val>
            <c:numRef>
              <c:extLst>
                <c:ext xmlns:c15="http://schemas.microsoft.com/office/drawing/2012/chart" uri="{02D57815-91ED-43cb-92C2-25804820EDAC}">
                  <c15:fullRef>
                    <c15:sqref>'Landbrug + Sammen fatning'!$B$6:$E$6</c15:sqref>
                  </c15:fullRef>
                </c:ext>
              </c:extLst>
              <c:f>'Landbrug + Sammen fatning'!$C$6:$D$6</c:f>
              <c:numCache>
                <c:formatCode>0</c:formatCode>
                <c:ptCount val="2"/>
                <c:pt idx="0">
                  <c:v>174.15180274126723</c:v>
                </c:pt>
                <c:pt idx="1">
                  <c:v>167.56737244062722</c:v>
                </c:pt>
              </c:numCache>
            </c:numRef>
          </c:val>
          <c:extLst xmlns:c16r2="http://schemas.microsoft.com/office/drawing/2015/06/chart">
            <c:ext xmlns:c16="http://schemas.microsoft.com/office/drawing/2014/chart" uri="{C3380CC4-5D6E-409C-BE32-E72D297353CC}">
              <c16:uniqueId val="{00000003-A68B-44B0-BDAD-F66ACA67E1D0}"/>
            </c:ext>
          </c:extLst>
        </c:ser>
        <c:ser>
          <c:idx val="4"/>
          <c:order val="4"/>
          <c:tx>
            <c:strRef>
              <c:f>'Landbrug + Sammen fatning'!$A$7</c:f>
              <c:strCache>
                <c:ptCount val="1"/>
                <c:pt idx="0">
                  <c:v>Affald og spildevand</c:v>
                </c:pt>
              </c:strCache>
            </c:strRef>
          </c:tx>
          <c:invertIfNegative val="0"/>
          <c:cat>
            <c:strRef>
              <c:extLst>
                <c:ext xmlns:c15="http://schemas.microsoft.com/office/drawing/2012/chart" uri="{02D57815-91ED-43cb-92C2-25804820EDAC}">
                  <c15:fullRef>
                    <c15:sqref>'Landbrug + Sammen fatning'!$B$2:$E$2</c15:sqref>
                  </c15:fullRef>
                </c:ext>
              </c:extLst>
              <c:f>'Landbrug + Sammen fatning'!$C$2:$D$2</c:f>
              <c:strCache>
                <c:ptCount val="2"/>
                <c:pt idx="0">
                  <c:v>2018</c:v>
                </c:pt>
                <c:pt idx="1">
                  <c:v>BAU 2030</c:v>
                </c:pt>
              </c:strCache>
            </c:strRef>
          </c:cat>
          <c:val>
            <c:numRef>
              <c:extLst>
                <c:ext xmlns:c15="http://schemas.microsoft.com/office/drawing/2012/chart" uri="{02D57815-91ED-43cb-92C2-25804820EDAC}">
                  <c15:fullRef>
                    <c15:sqref>'Landbrug + Sammen fatning'!$B$7:$E$7</c15:sqref>
                  </c15:fullRef>
                </c:ext>
              </c:extLst>
              <c:f>'Landbrug + Sammen fatning'!$C$7:$D$7</c:f>
              <c:numCache>
                <c:formatCode>0</c:formatCode>
                <c:ptCount val="2"/>
                <c:pt idx="0">
                  <c:v>19.467183153051408</c:v>
                </c:pt>
                <c:pt idx="1">
                  <c:v>17.08552291320175</c:v>
                </c:pt>
              </c:numCache>
            </c:numRef>
          </c:val>
          <c:extLst xmlns:c16r2="http://schemas.microsoft.com/office/drawing/2015/06/chart">
            <c:ext xmlns:c16="http://schemas.microsoft.com/office/drawing/2014/chart" uri="{C3380CC4-5D6E-409C-BE32-E72D297353CC}">
              <c16:uniqueId val="{00000004-A68B-44B0-BDAD-F66ACA67E1D0}"/>
            </c:ext>
          </c:extLst>
        </c:ser>
        <c:dLbls>
          <c:showLegendKey val="0"/>
          <c:showVal val="0"/>
          <c:showCatName val="0"/>
          <c:showSerName val="0"/>
          <c:showPercent val="0"/>
          <c:showBubbleSize val="0"/>
        </c:dLbls>
        <c:gapWidth val="150"/>
        <c:overlap val="100"/>
        <c:axId val="462527864"/>
        <c:axId val="462524336"/>
      </c:barChart>
      <c:catAx>
        <c:axId val="4625278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2524336"/>
        <c:crosses val="autoZero"/>
        <c:auto val="1"/>
        <c:lblAlgn val="ctr"/>
        <c:lblOffset val="100"/>
        <c:noMultiLvlLbl val="0"/>
      </c:catAx>
      <c:valAx>
        <c:axId val="46252433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a-DK"/>
          </a:p>
        </c:txPr>
        <c:crossAx val="462527864"/>
        <c:crosses val="autoZero"/>
        <c:crossBetween val="between"/>
      </c:valAx>
    </c:plotArea>
    <c:legend>
      <c:legendPos val="r"/>
      <c:layout>
        <c:manualLayout>
          <c:xMode val="edge"/>
          <c:yMode val="edge"/>
          <c:x val="0.78425030812589758"/>
          <c:y val="0.3672277658410556"/>
          <c:w val="0.2090288693724357"/>
          <c:h val="0.39477095253193023"/>
        </c:manualLayout>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a-DK"/>
    </a:p>
  </c:txPr>
  <c:printSettings>
    <c:headerFooter/>
    <c:pageMargins b="0.75000000000001199" l="0.70000000000000062" r="0.70000000000000062" t="0.75000000000001199"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04877046485398E-2"/>
          <c:y val="3.3794162826420893E-2"/>
          <c:w val="0.58987388696473042"/>
          <c:h val="0.85829384230197037"/>
        </c:manualLayout>
      </c:layout>
      <c:barChart>
        <c:barDir val="col"/>
        <c:grouping val="stacked"/>
        <c:varyColors val="0"/>
        <c:ser>
          <c:idx val="0"/>
          <c:order val="0"/>
          <c:tx>
            <c:strRef>
              <c:f>'Landbrug + Sammen fatning'!$A$58</c:f>
              <c:strCache>
                <c:ptCount val="1"/>
                <c:pt idx="0">
                  <c:v>Planteavl</c:v>
                </c:pt>
              </c:strCache>
            </c:strRef>
          </c:tx>
          <c:spPr>
            <a:solidFill>
              <a:schemeClr val="accent1"/>
            </a:solidFill>
            <a:ln>
              <a:noFill/>
            </a:ln>
            <a:effectLst/>
          </c:spPr>
          <c:invertIfNegative val="0"/>
          <c:cat>
            <c:strRef>
              <c:f>'Landbrug + Sammen fatning'!$B$57:$E$57</c:f>
              <c:strCache>
                <c:ptCount val="4"/>
                <c:pt idx="0">
                  <c:v>1990</c:v>
                </c:pt>
                <c:pt idx="1">
                  <c:v>2018</c:v>
                </c:pt>
                <c:pt idx="2">
                  <c:v>BAU2030</c:v>
                </c:pt>
                <c:pt idx="3">
                  <c:v>BAU2050</c:v>
                </c:pt>
              </c:strCache>
            </c:strRef>
          </c:cat>
          <c:val>
            <c:numRef>
              <c:f>'Landbrug + Sammen fatning'!$B$58:$E$58</c:f>
              <c:numCache>
                <c:formatCode>0</c:formatCode>
                <c:ptCount val="4"/>
                <c:pt idx="0">
                  <c:v>104.78635489814222</c:v>
                </c:pt>
                <c:pt idx="1">
                  <c:v>79.82969496614551</c:v>
                </c:pt>
                <c:pt idx="2">
                  <c:v>79.82969496614551</c:v>
                </c:pt>
                <c:pt idx="3">
                  <c:v>79.82969496614551</c:v>
                </c:pt>
              </c:numCache>
            </c:numRef>
          </c:val>
          <c:extLst xmlns:c16r2="http://schemas.microsoft.com/office/drawing/2015/06/chart">
            <c:ext xmlns:c16="http://schemas.microsoft.com/office/drawing/2014/chart" uri="{C3380CC4-5D6E-409C-BE32-E72D297353CC}">
              <c16:uniqueId val="{00000000-A5B5-4B51-B15B-F916F522BBDB}"/>
            </c:ext>
          </c:extLst>
        </c:ser>
        <c:ser>
          <c:idx val="1"/>
          <c:order val="1"/>
          <c:tx>
            <c:strRef>
              <c:f>'Landbrug + Sammen fatning'!$A$59</c:f>
              <c:strCache>
                <c:ptCount val="1"/>
                <c:pt idx="0">
                  <c:v>Dyrehold</c:v>
                </c:pt>
              </c:strCache>
            </c:strRef>
          </c:tx>
          <c:spPr>
            <a:solidFill>
              <a:schemeClr val="accent2"/>
            </a:solidFill>
            <a:ln>
              <a:noFill/>
            </a:ln>
            <a:effectLst/>
          </c:spPr>
          <c:invertIfNegative val="0"/>
          <c:cat>
            <c:strRef>
              <c:f>'Landbrug + Sammen fatning'!$B$57:$E$57</c:f>
              <c:strCache>
                <c:ptCount val="4"/>
                <c:pt idx="0">
                  <c:v>1990</c:v>
                </c:pt>
                <c:pt idx="1">
                  <c:v>2018</c:v>
                </c:pt>
                <c:pt idx="2">
                  <c:v>BAU2030</c:v>
                </c:pt>
                <c:pt idx="3">
                  <c:v>BAU2050</c:v>
                </c:pt>
              </c:strCache>
            </c:strRef>
          </c:cat>
          <c:val>
            <c:numRef>
              <c:f>'Landbrug + Sammen fatning'!$B$59:$E$59</c:f>
              <c:numCache>
                <c:formatCode>0</c:formatCode>
                <c:ptCount val="4"/>
                <c:pt idx="0">
                  <c:v>107.39173062230901</c:v>
                </c:pt>
                <c:pt idx="1">
                  <c:v>105.05075526334019</c:v>
                </c:pt>
                <c:pt idx="2">
                  <c:v>104.88876526334019</c:v>
                </c:pt>
                <c:pt idx="3">
                  <c:v>104.88876526334019</c:v>
                </c:pt>
              </c:numCache>
            </c:numRef>
          </c:val>
          <c:extLst xmlns:c16r2="http://schemas.microsoft.com/office/drawing/2015/06/chart">
            <c:ext xmlns:c16="http://schemas.microsoft.com/office/drawing/2014/chart" uri="{C3380CC4-5D6E-409C-BE32-E72D297353CC}">
              <c16:uniqueId val="{00000001-A5B5-4B51-B15B-F916F522BBDB}"/>
            </c:ext>
          </c:extLst>
        </c:ser>
        <c:ser>
          <c:idx val="2"/>
          <c:order val="2"/>
          <c:tx>
            <c:strRef>
              <c:f>'Landbrug + Sammen fatning'!$A$60</c:f>
              <c:strCache>
                <c:ptCount val="1"/>
                <c:pt idx="0">
                  <c:v>Industrielle processer</c:v>
                </c:pt>
              </c:strCache>
            </c:strRef>
          </c:tx>
          <c:spPr>
            <a:solidFill>
              <a:schemeClr val="accent3"/>
            </a:solidFill>
            <a:ln>
              <a:noFill/>
            </a:ln>
            <a:effectLst/>
          </c:spPr>
          <c:invertIfNegative val="0"/>
          <c:cat>
            <c:strRef>
              <c:f>'Landbrug + Sammen fatning'!$B$57:$E$57</c:f>
              <c:strCache>
                <c:ptCount val="4"/>
                <c:pt idx="0">
                  <c:v>1990</c:v>
                </c:pt>
                <c:pt idx="1">
                  <c:v>2018</c:v>
                </c:pt>
                <c:pt idx="2">
                  <c:v>BAU2030</c:v>
                </c:pt>
                <c:pt idx="3">
                  <c:v>BAU2050</c:v>
                </c:pt>
              </c:strCache>
            </c:strRef>
          </c:cat>
          <c:val>
            <c:numRef>
              <c:f>'Landbrug + Sammen fatning'!$B$60:$E$60</c:f>
              <c:numCache>
                <c:formatCode>0</c:formatCode>
                <c:ptCount val="4"/>
                <c:pt idx="0">
                  <c:v>14.412697225320425</c:v>
                </c:pt>
                <c:pt idx="1">
                  <c:v>13.272394849247927</c:v>
                </c:pt>
                <c:pt idx="2">
                  <c:v>13.272394849247927</c:v>
                </c:pt>
                <c:pt idx="3">
                  <c:v>13.272394849247927</c:v>
                </c:pt>
              </c:numCache>
            </c:numRef>
          </c:val>
          <c:extLst xmlns:c16r2="http://schemas.microsoft.com/office/drawing/2015/06/chart">
            <c:ext xmlns:c16="http://schemas.microsoft.com/office/drawing/2014/chart" uri="{C3380CC4-5D6E-409C-BE32-E72D297353CC}">
              <c16:uniqueId val="{00000002-A5B5-4B51-B15B-F916F522BBDB}"/>
            </c:ext>
          </c:extLst>
        </c:ser>
        <c:ser>
          <c:idx val="3"/>
          <c:order val="3"/>
          <c:tx>
            <c:strRef>
              <c:f>'Landbrug + Sammen fatning'!$A$61</c:f>
              <c:strCache>
                <c:ptCount val="1"/>
                <c:pt idx="0">
                  <c:v>Transport</c:v>
                </c:pt>
              </c:strCache>
            </c:strRef>
          </c:tx>
          <c:spPr>
            <a:solidFill>
              <a:schemeClr val="accent4"/>
            </a:solidFill>
            <a:ln>
              <a:noFill/>
            </a:ln>
            <a:effectLst/>
          </c:spPr>
          <c:invertIfNegative val="0"/>
          <c:cat>
            <c:strRef>
              <c:f>'Landbrug + Sammen fatning'!$B$57:$E$57</c:f>
              <c:strCache>
                <c:ptCount val="4"/>
                <c:pt idx="0">
                  <c:v>1990</c:v>
                </c:pt>
                <c:pt idx="1">
                  <c:v>2018</c:v>
                </c:pt>
                <c:pt idx="2">
                  <c:v>BAU2030</c:v>
                </c:pt>
                <c:pt idx="3">
                  <c:v>BAU2050</c:v>
                </c:pt>
              </c:strCache>
            </c:strRef>
          </c:cat>
          <c:val>
            <c:numRef>
              <c:f>'Landbrug + Sammen fatning'!$B$61:$E$61</c:f>
              <c:numCache>
                <c:formatCode>#,##0</c:formatCode>
                <c:ptCount val="4"/>
                <c:pt idx="0">
                  <c:v>234.02307000000002</c:v>
                </c:pt>
                <c:pt idx="1">
                  <c:v>264.93598910000003</c:v>
                </c:pt>
                <c:pt idx="2">
                  <c:v>243.40470786900002</c:v>
                </c:pt>
                <c:pt idx="3">
                  <c:v>155.97907681999999</c:v>
                </c:pt>
              </c:numCache>
            </c:numRef>
          </c:val>
          <c:extLst xmlns:c16r2="http://schemas.microsoft.com/office/drawing/2015/06/chart">
            <c:ext xmlns:c16="http://schemas.microsoft.com/office/drawing/2014/chart" uri="{C3380CC4-5D6E-409C-BE32-E72D297353CC}">
              <c16:uniqueId val="{00000003-A5B5-4B51-B15B-F916F522BBDB}"/>
            </c:ext>
          </c:extLst>
        </c:ser>
        <c:ser>
          <c:idx val="4"/>
          <c:order val="4"/>
          <c:tx>
            <c:strRef>
              <c:f>'Landbrug + Sammen fatning'!$A$62</c:f>
              <c:strCache>
                <c:ptCount val="1"/>
                <c:pt idx="0">
                  <c:v>Øvrig energisektor</c:v>
                </c:pt>
              </c:strCache>
            </c:strRef>
          </c:tx>
          <c:spPr>
            <a:solidFill>
              <a:schemeClr val="accent5"/>
            </a:solidFill>
            <a:ln>
              <a:noFill/>
            </a:ln>
            <a:effectLst/>
          </c:spPr>
          <c:invertIfNegative val="0"/>
          <c:cat>
            <c:strRef>
              <c:f>'Landbrug + Sammen fatning'!$B$57:$E$57</c:f>
              <c:strCache>
                <c:ptCount val="4"/>
                <c:pt idx="0">
                  <c:v>1990</c:v>
                </c:pt>
                <c:pt idx="1">
                  <c:v>2018</c:v>
                </c:pt>
                <c:pt idx="2">
                  <c:v>BAU2030</c:v>
                </c:pt>
                <c:pt idx="3">
                  <c:v>BAU2050</c:v>
                </c:pt>
              </c:strCache>
            </c:strRef>
          </c:cat>
          <c:val>
            <c:numRef>
              <c:f>'Landbrug + Sammen fatning'!$B$62:$E$62</c:f>
              <c:numCache>
                <c:formatCode>#,##0</c:formatCode>
                <c:ptCount val="4"/>
                <c:pt idx="0">
                  <c:v>605.41073572360835</c:v>
                </c:pt>
                <c:pt idx="1">
                  <c:v>71.605279374609225</c:v>
                </c:pt>
                <c:pt idx="2">
                  <c:v>69.09017824</c:v>
                </c:pt>
                <c:pt idx="3">
                  <c:v>65.643768100000003</c:v>
                </c:pt>
              </c:numCache>
            </c:numRef>
          </c:val>
          <c:extLst xmlns:c16r2="http://schemas.microsoft.com/office/drawing/2015/06/chart">
            <c:ext xmlns:c16="http://schemas.microsoft.com/office/drawing/2014/chart" uri="{C3380CC4-5D6E-409C-BE32-E72D297353CC}">
              <c16:uniqueId val="{00000004-A5B5-4B51-B15B-F916F522BBDB}"/>
            </c:ext>
          </c:extLst>
        </c:ser>
        <c:ser>
          <c:idx val="5"/>
          <c:order val="5"/>
          <c:tx>
            <c:strRef>
              <c:f>'Landbrug + Sammen fatning'!$A$63</c:f>
              <c:strCache>
                <c:ptCount val="1"/>
                <c:pt idx="0">
                  <c:v>Arealanvendelse</c:v>
                </c:pt>
              </c:strCache>
            </c:strRef>
          </c:tx>
          <c:spPr>
            <a:solidFill>
              <a:schemeClr val="accent6"/>
            </a:solidFill>
            <a:ln>
              <a:noFill/>
            </a:ln>
            <a:effectLst/>
          </c:spPr>
          <c:invertIfNegative val="0"/>
          <c:cat>
            <c:strRef>
              <c:f>'Landbrug + Sammen fatning'!$B$57:$E$57</c:f>
              <c:strCache>
                <c:ptCount val="4"/>
                <c:pt idx="0">
                  <c:v>1990</c:v>
                </c:pt>
                <c:pt idx="1">
                  <c:v>2018</c:v>
                </c:pt>
                <c:pt idx="2">
                  <c:v>BAU2030</c:v>
                </c:pt>
                <c:pt idx="3">
                  <c:v>BAU2050</c:v>
                </c:pt>
              </c:strCache>
            </c:strRef>
          </c:cat>
          <c:val>
            <c:numRef>
              <c:f>'Landbrug + Sammen fatning'!$B$63:$E$63</c:f>
              <c:numCache>
                <c:formatCode>0</c:formatCode>
                <c:ptCount val="4"/>
                <c:pt idx="0">
                  <c:v>170.43198637333367</c:v>
                </c:pt>
                <c:pt idx="1">
                  <c:v>174.15180274126723</c:v>
                </c:pt>
                <c:pt idx="2">
                  <c:v>167.56737244062722</c:v>
                </c:pt>
                <c:pt idx="3">
                  <c:v>167.56737244062722</c:v>
                </c:pt>
              </c:numCache>
            </c:numRef>
          </c:val>
          <c:extLst xmlns:c16r2="http://schemas.microsoft.com/office/drawing/2015/06/chart">
            <c:ext xmlns:c16="http://schemas.microsoft.com/office/drawing/2014/chart" uri="{C3380CC4-5D6E-409C-BE32-E72D297353CC}">
              <c16:uniqueId val="{00000005-A5B5-4B51-B15B-F916F522BBDB}"/>
            </c:ext>
          </c:extLst>
        </c:ser>
        <c:ser>
          <c:idx val="6"/>
          <c:order val="6"/>
          <c:tx>
            <c:strRef>
              <c:f>'Landbrug + Sammen fatning'!$A$64</c:f>
              <c:strCache>
                <c:ptCount val="1"/>
                <c:pt idx="0">
                  <c:v>Affald, spildevand og tilfældige brande</c:v>
                </c:pt>
              </c:strCache>
            </c:strRef>
          </c:tx>
          <c:spPr>
            <a:solidFill>
              <a:schemeClr val="accent1">
                <a:lumMod val="60000"/>
              </a:schemeClr>
            </a:solidFill>
            <a:ln>
              <a:noFill/>
            </a:ln>
            <a:effectLst/>
          </c:spPr>
          <c:invertIfNegative val="0"/>
          <c:cat>
            <c:strRef>
              <c:f>'Landbrug + Sammen fatning'!$B$57:$E$57</c:f>
              <c:strCache>
                <c:ptCount val="4"/>
                <c:pt idx="0">
                  <c:v>1990</c:v>
                </c:pt>
                <c:pt idx="1">
                  <c:v>2018</c:v>
                </c:pt>
                <c:pt idx="2">
                  <c:v>BAU2030</c:v>
                </c:pt>
                <c:pt idx="3">
                  <c:v>BAU2050</c:v>
                </c:pt>
              </c:strCache>
            </c:strRef>
          </c:cat>
          <c:val>
            <c:numRef>
              <c:f>'Landbrug + Sammen fatning'!$B$64:$E$64</c:f>
              <c:numCache>
                <c:formatCode>0</c:formatCode>
                <c:ptCount val="4"/>
                <c:pt idx="0">
                  <c:v>26.304454352618855</c:v>
                </c:pt>
                <c:pt idx="1">
                  <c:v>19.467183153051408</c:v>
                </c:pt>
                <c:pt idx="2">
                  <c:v>17.08552291320175</c:v>
                </c:pt>
                <c:pt idx="3">
                  <c:v>13.274866529442289</c:v>
                </c:pt>
              </c:numCache>
            </c:numRef>
          </c:val>
          <c:extLst xmlns:c16r2="http://schemas.microsoft.com/office/drawing/2015/06/chart">
            <c:ext xmlns:c16="http://schemas.microsoft.com/office/drawing/2014/chart" uri="{C3380CC4-5D6E-409C-BE32-E72D297353CC}">
              <c16:uniqueId val="{00000006-A5B5-4B51-B15B-F916F522BBDB}"/>
            </c:ext>
          </c:extLst>
        </c:ser>
        <c:dLbls>
          <c:showLegendKey val="0"/>
          <c:showVal val="0"/>
          <c:showCatName val="0"/>
          <c:showSerName val="0"/>
          <c:showPercent val="0"/>
          <c:showBubbleSize val="0"/>
        </c:dLbls>
        <c:gapWidth val="150"/>
        <c:overlap val="100"/>
        <c:axId val="462521984"/>
        <c:axId val="462527080"/>
      </c:barChart>
      <c:catAx>
        <c:axId val="4625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crossAx val="462527080"/>
        <c:crosses val="autoZero"/>
        <c:auto val="1"/>
        <c:lblAlgn val="ctr"/>
        <c:lblOffset val="100"/>
        <c:noMultiLvlLbl val="0"/>
      </c:catAx>
      <c:valAx>
        <c:axId val="462527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1"/>
                  <a:t>1.000</a:t>
                </a:r>
                <a:r>
                  <a:rPr lang="da-DK" b="1" baseline="0"/>
                  <a:t> tons/år</a:t>
                </a:r>
                <a:endParaRPr lang="da-DK" b="1"/>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crossAx val="462521984"/>
        <c:crosses val="autoZero"/>
        <c:crossBetween val="between"/>
      </c:valAx>
      <c:spPr>
        <a:noFill/>
        <a:ln>
          <a:noFill/>
        </a:ln>
        <a:effectLst/>
      </c:spPr>
    </c:plotArea>
    <c:legend>
      <c:legendPos val="b"/>
      <c:layout>
        <c:manualLayout>
          <c:xMode val="edge"/>
          <c:yMode val="edge"/>
          <c:x val="0.69492377822870832"/>
          <c:y val="0.21911110619813493"/>
          <c:w val="0.27832409662110524"/>
          <c:h val="0.51958634202982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04877046485398E-2"/>
          <c:y val="3.3794162826420893E-2"/>
          <c:w val="0.58987388696473042"/>
          <c:h val="0.85829384230197037"/>
        </c:manualLayout>
      </c:layout>
      <c:barChart>
        <c:barDir val="col"/>
        <c:grouping val="stacked"/>
        <c:varyColors val="0"/>
        <c:ser>
          <c:idx val="0"/>
          <c:order val="0"/>
          <c:tx>
            <c:strRef>
              <c:f>'Landbrug + Sammen fatning'!$A$58</c:f>
              <c:strCache>
                <c:ptCount val="1"/>
                <c:pt idx="0">
                  <c:v>Planteavl</c:v>
                </c:pt>
              </c:strCache>
            </c:strRef>
          </c:tx>
          <c:spPr>
            <a:solidFill>
              <a:schemeClr val="accent1"/>
            </a:solidFill>
            <a:ln>
              <a:noFill/>
            </a:ln>
            <a:effectLst/>
          </c:spPr>
          <c:invertIfNegative val="0"/>
          <c:cat>
            <c:strRef>
              <c:extLst>
                <c:ext xmlns:c15="http://schemas.microsoft.com/office/drawing/2012/chart" uri="{02D57815-91ED-43cb-92C2-25804820EDAC}">
                  <c15:fullRef>
                    <c15:sqref>'Landbrug + Sammen fatning'!$B$57:$E$57</c15:sqref>
                  </c15:fullRef>
                </c:ext>
              </c:extLst>
              <c:f>'Landbrug + Sammen fatning'!$B$57:$D$57</c:f>
              <c:strCache>
                <c:ptCount val="3"/>
                <c:pt idx="0">
                  <c:v>1990</c:v>
                </c:pt>
                <c:pt idx="1">
                  <c:v>2018</c:v>
                </c:pt>
                <c:pt idx="2">
                  <c:v>BAU2030</c:v>
                </c:pt>
              </c:strCache>
            </c:strRef>
          </c:cat>
          <c:val>
            <c:numRef>
              <c:extLst>
                <c:ext xmlns:c15="http://schemas.microsoft.com/office/drawing/2012/chart" uri="{02D57815-91ED-43cb-92C2-25804820EDAC}">
                  <c15:fullRef>
                    <c15:sqref>'Landbrug + Sammen fatning'!$B$58:$E$58</c15:sqref>
                  </c15:fullRef>
                </c:ext>
              </c:extLst>
              <c:f>'Landbrug + Sammen fatning'!$B$58:$D$58</c:f>
              <c:numCache>
                <c:formatCode>0</c:formatCode>
                <c:ptCount val="3"/>
                <c:pt idx="0">
                  <c:v>104.78635489814222</c:v>
                </c:pt>
                <c:pt idx="1">
                  <c:v>79.82969496614551</c:v>
                </c:pt>
                <c:pt idx="2">
                  <c:v>79.82969496614551</c:v>
                </c:pt>
              </c:numCache>
            </c:numRef>
          </c:val>
          <c:extLst xmlns:c16r2="http://schemas.microsoft.com/office/drawing/2015/06/chart">
            <c:ext xmlns:c16="http://schemas.microsoft.com/office/drawing/2014/chart" uri="{C3380CC4-5D6E-409C-BE32-E72D297353CC}">
              <c16:uniqueId val="{00000000-C4D6-4A3C-96A2-6207D247FDB4}"/>
            </c:ext>
          </c:extLst>
        </c:ser>
        <c:ser>
          <c:idx val="1"/>
          <c:order val="1"/>
          <c:tx>
            <c:strRef>
              <c:f>'Landbrug + Sammen fatning'!$A$59</c:f>
              <c:strCache>
                <c:ptCount val="1"/>
                <c:pt idx="0">
                  <c:v>Dyrehold</c:v>
                </c:pt>
              </c:strCache>
            </c:strRef>
          </c:tx>
          <c:spPr>
            <a:solidFill>
              <a:schemeClr val="accent2"/>
            </a:solidFill>
            <a:ln>
              <a:noFill/>
            </a:ln>
            <a:effectLst/>
          </c:spPr>
          <c:invertIfNegative val="0"/>
          <c:cat>
            <c:strRef>
              <c:extLst>
                <c:ext xmlns:c15="http://schemas.microsoft.com/office/drawing/2012/chart" uri="{02D57815-91ED-43cb-92C2-25804820EDAC}">
                  <c15:fullRef>
                    <c15:sqref>'Landbrug + Sammen fatning'!$B$57:$E$57</c15:sqref>
                  </c15:fullRef>
                </c:ext>
              </c:extLst>
              <c:f>'Landbrug + Sammen fatning'!$B$57:$D$57</c:f>
              <c:strCache>
                <c:ptCount val="3"/>
                <c:pt idx="0">
                  <c:v>1990</c:v>
                </c:pt>
                <c:pt idx="1">
                  <c:v>2018</c:v>
                </c:pt>
                <c:pt idx="2">
                  <c:v>BAU2030</c:v>
                </c:pt>
              </c:strCache>
            </c:strRef>
          </c:cat>
          <c:val>
            <c:numRef>
              <c:extLst>
                <c:ext xmlns:c15="http://schemas.microsoft.com/office/drawing/2012/chart" uri="{02D57815-91ED-43cb-92C2-25804820EDAC}">
                  <c15:fullRef>
                    <c15:sqref>'Landbrug + Sammen fatning'!$B$59:$E$59</c15:sqref>
                  </c15:fullRef>
                </c:ext>
              </c:extLst>
              <c:f>'Landbrug + Sammen fatning'!$B$59:$D$59</c:f>
              <c:numCache>
                <c:formatCode>0</c:formatCode>
                <c:ptCount val="3"/>
                <c:pt idx="0">
                  <c:v>107.39173062230901</c:v>
                </c:pt>
                <c:pt idx="1">
                  <c:v>105.05075526334019</c:v>
                </c:pt>
                <c:pt idx="2">
                  <c:v>104.88876526334019</c:v>
                </c:pt>
              </c:numCache>
            </c:numRef>
          </c:val>
          <c:extLst xmlns:c16r2="http://schemas.microsoft.com/office/drawing/2015/06/chart">
            <c:ext xmlns:c16="http://schemas.microsoft.com/office/drawing/2014/chart" uri="{C3380CC4-5D6E-409C-BE32-E72D297353CC}">
              <c16:uniqueId val="{00000001-C4D6-4A3C-96A2-6207D247FDB4}"/>
            </c:ext>
          </c:extLst>
        </c:ser>
        <c:ser>
          <c:idx val="2"/>
          <c:order val="2"/>
          <c:tx>
            <c:strRef>
              <c:f>'Landbrug + Sammen fatning'!$A$60</c:f>
              <c:strCache>
                <c:ptCount val="1"/>
                <c:pt idx="0">
                  <c:v>Industrielle processer</c:v>
                </c:pt>
              </c:strCache>
            </c:strRef>
          </c:tx>
          <c:spPr>
            <a:solidFill>
              <a:schemeClr val="accent3"/>
            </a:solidFill>
            <a:ln>
              <a:noFill/>
            </a:ln>
            <a:effectLst/>
          </c:spPr>
          <c:invertIfNegative val="0"/>
          <c:cat>
            <c:strRef>
              <c:extLst>
                <c:ext xmlns:c15="http://schemas.microsoft.com/office/drawing/2012/chart" uri="{02D57815-91ED-43cb-92C2-25804820EDAC}">
                  <c15:fullRef>
                    <c15:sqref>'Landbrug + Sammen fatning'!$B$57:$E$57</c15:sqref>
                  </c15:fullRef>
                </c:ext>
              </c:extLst>
              <c:f>'Landbrug + Sammen fatning'!$B$57:$D$57</c:f>
              <c:strCache>
                <c:ptCount val="3"/>
                <c:pt idx="0">
                  <c:v>1990</c:v>
                </c:pt>
                <c:pt idx="1">
                  <c:v>2018</c:v>
                </c:pt>
                <c:pt idx="2">
                  <c:v>BAU2030</c:v>
                </c:pt>
              </c:strCache>
            </c:strRef>
          </c:cat>
          <c:val>
            <c:numRef>
              <c:extLst>
                <c:ext xmlns:c15="http://schemas.microsoft.com/office/drawing/2012/chart" uri="{02D57815-91ED-43cb-92C2-25804820EDAC}">
                  <c15:fullRef>
                    <c15:sqref>'Landbrug + Sammen fatning'!$B$60:$E$60</c15:sqref>
                  </c15:fullRef>
                </c:ext>
              </c:extLst>
              <c:f>'Landbrug + Sammen fatning'!$B$60:$D$60</c:f>
              <c:numCache>
                <c:formatCode>0</c:formatCode>
                <c:ptCount val="3"/>
                <c:pt idx="0">
                  <c:v>14.412697225320425</c:v>
                </c:pt>
                <c:pt idx="1">
                  <c:v>13.272394849247927</c:v>
                </c:pt>
                <c:pt idx="2">
                  <c:v>13.272394849247927</c:v>
                </c:pt>
              </c:numCache>
            </c:numRef>
          </c:val>
          <c:extLst xmlns:c16r2="http://schemas.microsoft.com/office/drawing/2015/06/chart">
            <c:ext xmlns:c16="http://schemas.microsoft.com/office/drawing/2014/chart" uri="{C3380CC4-5D6E-409C-BE32-E72D297353CC}">
              <c16:uniqueId val="{00000002-C4D6-4A3C-96A2-6207D247FDB4}"/>
            </c:ext>
          </c:extLst>
        </c:ser>
        <c:ser>
          <c:idx val="3"/>
          <c:order val="3"/>
          <c:tx>
            <c:strRef>
              <c:f>'Landbrug + Sammen fatning'!$A$61</c:f>
              <c:strCache>
                <c:ptCount val="1"/>
                <c:pt idx="0">
                  <c:v>Transport</c:v>
                </c:pt>
              </c:strCache>
            </c:strRef>
          </c:tx>
          <c:spPr>
            <a:solidFill>
              <a:schemeClr val="accent4"/>
            </a:solidFill>
            <a:ln>
              <a:noFill/>
            </a:ln>
            <a:effectLst/>
          </c:spPr>
          <c:invertIfNegative val="0"/>
          <c:cat>
            <c:strRef>
              <c:extLst>
                <c:ext xmlns:c15="http://schemas.microsoft.com/office/drawing/2012/chart" uri="{02D57815-91ED-43cb-92C2-25804820EDAC}">
                  <c15:fullRef>
                    <c15:sqref>'Landbrug + Sammen fatning'!$B$57:$E$57</c15:sqref>
                  </c15:fullRef>
                </c:ext>
              </c:extLst>
              <c:f>'Landbrug + Sammen fatning'!$B$57:$D$57</c:f>
              <c:strCache>
                <c:ptCount val="3"/>
                <c:pt idx="0">
                  <c:v>1990</c:v>
                </c:pt>
                <c:pt idx="1">
                  <c:v>2018</c:v>
                </c:pt>
                <c:pt idx="2">
                  <c:v>BAU2030</c:v>
                </c:pt>
              </c:strCache>
            </c:strRef>
          </c:cat>
          <c:val>
            <c:numRef>
              <c:extLst>
                <c:ext xmlns:c15="http://schemas.microsoft.com/office/drawing/2012/chart" uri="{02D57815-91ED-43cb-92C2-25804820EDAC}">
                  <c15:fullRef>
                    <c15:sqref>'Landbrug + Sammen fatning'!$B$61:$E$61</c15:sqref>
                  </c15:fullRef>
                </c:ext>
              </c:extLst>
              <c:f>'Landbrug + Sammen fatning'!$B$61:$D$61</c:f>
              <c:numCache>
                <c:formatCode>#,##0</c:formatCode>
                <c:ptCount val="3"/>
                <c:pt idx="0">
                  <c:v>234.02307000000002</c:v>
                </c:pt>
                <c:pt idx="1">
                  <c:v>264.93598910000003</c:v>
                </c:pt>
                <c:pt idx="2">
                  <c:v>243.40470786900002</c:v>
                </c:pt>
              </c:numCache>
            </c:numRef>
          </c:val>
          <c:extLst xmlns:c16r2="http://schemas.microsoft.com/office/drawing/2015/06/chart">
            <c:ext xmlns:c16="http://schemas.microsoft.com/office/drawing/2014/chart" uri="{C3380CC4-5D6E-409C-BE32-E72D297353CC}">
              <c16:uniqueId val="{00000003-C4D6-4A3C-96A2-6207D247FDB4}"/>
            </c:ext>
          </c:extLst>
        </c:ser>
        <c:ser>
          <c:idx val="4"/>
          <c:order val="4"/>
          <c:tx>
            <c:strRef>
              <c:f>'Landbrug + Sammen fatning'!$A$62</c:f>
              <c:strCache>
                <c:ptCount val="1"/>
                <c:pt idx="0">
                  <c:v>Øvrig energisektor</c:v>
                </c:pt>
              </c:strCache>
            </c:strRef>
          </c:tx>
          <c:spPr>
            <a:solidFill>
              <a:schemeClr val="accent5"/>
            </a:solidFill>
            <a:ln>
              <a:noFill/>
            </a:ln>
            <a:effectLst/>
          </c:spPr>
          <c:invertIfNegative val="0"/>
          <c:cat>
            <c:strRef>
              <c:extLst>
                <c:ext xmlns:c15="http://schemas.microsoft.com/office/drawing/2012/chart" uri="{02D57815-91ED-43cb-92C2-25804820EDAC}">
                  <c15:fullRef>
                    <c15:sqref>'Landbrug + Sammen fatning'!$B$57:$E$57</c15:sqref>
                  </c15:fullRef>
                </c:ext>
              </c:extLst>
              <c:f>'Landbrug + Sammen fatning'!$B$57:$D$57</c:f>
              <c:strCache>
                <c:ptCount val="3"/>
                <c:pt idx="0">
                  <c:v>1990</c:v>
                </c:pt>
                <c:pt idx="1">
                  <c:v>2018</c:v>
                </c:pt>
                <c:pt idx="2">
                  <c:v>BAU2030</c:v>
                </c:pt>
              </c:strCache>
            </c:strRef>
          </c:cat>
          <c:val>
            <c:numRef>
              <c:extLst>
                <c:ext xmlns:c15="http://schemas.microsoft.com/office/drawing/2012/chart" uri="{02D57815-91ED-43cb-92C2-25804820EDAC}">
                  <c15:fullRef>
                    <c15:sqref>'Landbrug + Sammen fatning'!$B$62:$E$62</c15:sqref>
                  </c15:fullRef>
                </c:ext>
              </c:extLst>
              <c:f>'Landbrug + Sammen fatning'!$B$62:$D$62</c:f>
              <c:numCache>
                <c:formatCode>#,##0</c:formatCode>
                <c:ptCount val="3"/>
                <c:pt idx="0">
                  <c:v>605.41073572360835</c:v>
                </c:pt>
                <c:pt idx="1">
                  <c:v>71.605279374609225</c:v>
                </c:pt>
                <c:pt idx="2">
                  <c:v>69.09017824</c:v>
                </c:pt>
              </c:numCache>
            </c:numRef>
          </c:val>
          <c:extLst xmlns:c16r2="http://schemas.microsoft.com/office/drawing/2015/06/chart">
            <c:ext xmlns:c16="http://schemas.microsoft.com/office/drawing/2014/chart" uri="{C3380CC4-5D6E-409C-BE32-E72D297353CC}">
              <c16:uniqueId val="{00000004-C4D6-4A3C-96A2-6207D247FDB4}"/>
            </c:ext>
          </c:extLst>
        </c:ser>
        <c:ser>
          <c:idx val="5"/>
          <c:order val="5"/>
          <c:tx>
            <c:strRef>
              <c:f>'Landbrug + Sammen fatning'!$A$63</c:f>
              <c:strCache>
                <c:ptCount val="1"/>
                <c:pt idx="0">
                  <c:v>Arealanvendelse</c:v>
                </c:pt>
              </c:strCache>
            </c:strRef>
          </c:tx>
          <c:spPr>
            <a:solidFill>
              <a:schemeClr val="accent6"/>
            </a:solidFill>
            <a:ln>
              <a:noFill/>
            </a:ln>
            <a:effectLst/>
          </c:spPr>
          <c:invertIfNegative val="0"/>
          <c:cat>
            <c:strRef>
              <c:extLst>
                <c:ext xmlns:c15="http://schemas.microsoft.com/office/drawing/2012/chart" uri="{02D57815-91ED-43cb-92C2-25804820EDAC}">
                  <c15:fullRef>
                    <c15:sqref>'Landbrug + Sammen fatning'!$B$57:$E$57</c15:sqref>
                  </c15:fullRef>
                </c:ext>
              </c:extLst>
              <c:f>'Landbrug + Sammen fatning'!$B$57:$D$57</c:f>
              <c:strCache>
                <c:ptCount val="3"/>
                <c:pt idx="0">
                  <c:v>1990</c:v>
                </c:pt>
                <c:pt idx="1">
                  <c:v>2018</c:v>
                </c:pt>
                <c:pt idx="2">
                  <c:v>BAU2030</c:v>
                </c:pt>
              </c:strCache>
            </c:strRef>
          </c:cat>
          <c:val>
            <c:numRef>
              <c:extLst>
                <c:ext xmlns:c15="http://schemas.microsoft.com/office/drawing/2012/chart" uri="{02D57815-91ED-43cb-92C2-25804820EDAC}">
                  <c15:fullRef>
                    <c15:sqref>'Landbrug + Sammen fatning'!$B$63:$E$63</c15:sqref>
                  </c15:fullRef>
                </c:ext>
              </c:extLst>
              <c:f>'Landbrug + Sammen fatning'!$B$63:$D$63</c:f>
              <c:numCache>
                <c:formatCode>0</c:formatCode>
                <c:ptCount val="3"/>
                <c:pt idx="0">
                  <c:v>170.43198637333367</c:v>
                </c:pt>
                <c:pt idx="1">
                  <c:v>174.15180274126723</c:v>
                </c:pt>
                <c:pt idx="2">
                  <c:v>167.56737244062722</c:v>
                </c:pt>
              </c:numCache>
            </c:numRef>
          </c:val>
          <c:extLst xmlns:c16r2="http://schemas.microsoft.com/office/drawing/2015/06/chart">
            <c:ext xmlns:c16="http://schemas.microsoft.com/office/drawing/2014/chart" uri="{C3380CC4-5D6E-409C-BE32-E72D297353CC}">
              <c16:uniqueId val="{00000005-C4D6-4A3C-96A2-6207D247FDB4}"/>
            </c:ext>
          </c:extLst>
        </c:ser>
        <c:ser>
          <c:idx val="6"/>
          <c:order val="6"/>
          <c:tx>
            <c:strRef>
              <c:f>'Landbrug + Sammen fatning'!$A$64</c:f>
              <c:strCache>
                <c:ptCount val="1"/>
                <c:pt idx="0">
                  <c:v>Affald, spildevand og tilfældige brande</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'Landbrug + Sammen fatning'!$B$57:$E$57</c15:sqref>
                  </c15:fullRef>
                </c:ext>
              </c:extLst>
              <c:f>'Landbrug + Sammen fatning'!$B$57:$D$57</c:f>
              <c:strCache>
                <c:ptCount val="3"/>
                <c:pt idx="0">
                  <c:v>1990</c:v>
                </c:pt>
                <c:pt idx="1">
                  <c:v>2018</c:v>
                </c:pt>
                <c:pt idx="2">
                  <c:v>BAU2030</c:v>
                </c:pt>
              </c:strCache>
            </c:strRef>
          </c:cat>
          <c:val>
            <c:numRef>
              <c:extLst>
                <c:ext xmlns:c15="http://schemas.microsoft.com/office/drawing/2012/chart" uri="{02D57815-91ED-43cb-92C2-25804820EDAC}">
                  <c15:fullRef>
                    <c15:sqref>'Landbrug + Sammen fatning'!$B$64:$E$64</c15:sqref>
                  </c15:fullRef>
                </c:ext>
              </c:extLst>
              <c:f>'Landbrug + Sammen fatning'!$B$64:$D$64</c:f>
              <c:numCache>
                <c:formatCode>0</c:formatCode>
                <c:ptCount val="3"/>
                <c:pt idx="0">
                  <c:v>26.304454352618855</c:v>
                </c:pt>
                <c:pt idx="1">
                  <c:v>19.467183153051408</c:v>
                </c:pt>
                <c:pt idx="2">
                  <c:v>17.08552291320175</c:v>
                </c:pt>
              </c:numCache>
            </c:numRef>
          </c:val>
          <c:extLst xmlns:c16r2="http://schemas.microsoft.com/office/drawing/2015/06/chart">
            <c:ext xmlns:c16="http://schemas.microsoft.com/office/drawing/2014/chart" uri="{C3380CC4-5D6E-409C-BE32-E72D297353CC}">
              <c16:uniqueId val="{00000006-C4D6-4A3C-96A2-6207D247FDB4}"/>
            </c:ext>
          </c:extLst>
        </c:ser>
        <c:dLbls>
          <c:showLegendKey val="0"/>
          <c:showVal val="0"/>
          <c:showCatName val="0"/>
          <c:showSerName val="0"/>
          <c:showPercent val="0"/>
          <c:showBubbleSize val="0"/>
        </c:dLbls>
        <c:gapWidth val="150"/>
        <c:overlap val="100"/>
        <c:axId val="462521592"/>
        <c:axId val="462522768"/>
      </c:barChart>
      <c:catAx>
        <c:axId val="46252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crossAx val="462522768"/>
        <c:crosses val="autoZero"/>
        <c:auto val="1"/>
        <c:lblAlgn val="ctr"/>
        <c:lblOffset val="100"/>
        <c:noMultiLvlLbl val="0"/>
      </c:catAx>
      <c:valAx>
        <c:axId val="46252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1"/>
                  <a:t>1.000</a:t>
                </a:r>
                <a:r>
                  <a:rPr lang="da-DK" b="1" baseline="0"/>
                  <a:t> tons/år</a:t>
                </a:r>
                <a:endParaRPr lang="da-DK" b="1"/>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crossAx val="462521592"/>
        <c:crosses val="autoZero"/>
        <c:crossBetween val="between"/>
      </c:valAx>
      <c:spPr>
        <a:noFill/>
        <a:ln>
          <a:noFill/>
        </a:ln>
        <a:effectLst/>
      </c:spPr>
    </c:plotArea>
    <c:legend>
      <c:legendPos val="b"/>
      <c:layout>
        <c:manualLayout>
          <c:xMode val="edge"/>
          <c:yMode val="edge"/>
          <c:x val="0.69492377822870832"/>
          <c:y val="0.21911110619813493"/>
          <c:w val="0.27832409662110524"/>
          <c:h val="0.51958634202982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04877046485398E-2"/>
          <c:y val="3.3794162826420893E-2"/>
          <c:w val="0.58987388696473042"/>
          <c:h val="0.85829384230197037"/>
        </c:manualLayout>
      </c:layout>
      <c:barChart>
        <c:barDir val="col"/>
        <c:grouping val="stacked"/>
        <c:varyColors val="0"/>
        <c:ser>
          <c:idx val="0"/>
          <c:order val="0"/>
          <c:tx>
            <c:strRef>
              <c:f>'Landbrug + Sammen fatning'!$A$58</c:f>
              <c:strCache>
                <c:ptCount val="1"/>
                <c:pt idx="0">
                  <c:v>Planteavl</c:v>
                </c:pt>
              </c:strCache>
            </c:strRef>
          </c:tx>
          <c:spPr>
            <a:solidFill>
              <a:schemeClr val="accent1"/>
            </a:solidFill>
            <a:ln>
              <a:noFill/>
            </a:ln>
            <a:effectLst/>
          </c:spPr>
          <c:invertIfNegative val="0"/>
          <c:cat>
            <c:strRef>
              <c:extLst>
                <c:ext xmlns:c15="http://schemas.microsoft.com/office/drawing/2012/chart" uri="{02D57815-91ED-43cb-92C2-25804820EDAC}">
                  <c15:fullRef>
                    <c15:sqref>'Landbrug + Sammen fatning'!$B$41:$E$41</c15:sqref>
                  </c15:fullRef>
                </c:ext>
              </c:extLst>
              <c:f>('Landbrug + Sammen fatning'!$B$41:$C$41,'Landbrug + Sammen fatning'!$E$41)</c:f>
              <c:strCache>
                <c:ptCount val="3"/>
                <c:pt idx="0">
                  <c:v>1990</c:v>
                </c:pt>
                <c:pt idx="1">
                  <c:v>2018</c:v>
                </c:pt>
                <c:pt idx="2">
                  <c:v>BAU2050</c:v>
                </c:pt>
              </c:strCache>
            </c:strRef>
          </c:cat>
          <c:val>
            <c:numRef>
              <c:extLst>
                <c:ext xmlns:c15="http://schemas.microsoft.com/office/drawing/2012/chart" uri="{02D57815-91ED-43cb-92C2-25804820EDAC}">
                  <c15:fullRef>
                    <c15:sqref>'Landbrug + Sammen fatning'!$B$58:$E$58</c15:sqref>
                  </c15:fullRef>
                </c:ext>
              </c:extLst>
              <c:f>('Landbrug + Sammen fatning'!$B$58:$C$58,'Landbrug + Sammen fatning'!$E$58)</c:f>
              <c:numCache>
                <c:formatCode>0</c:formatCode>
                <c:ptCount val="3"/>
                <c:pt idx="0">
                  <c:v>104.78635489814222</c:v>
                </c:pt>
                <c:pt idx="1">
                  <c:v>79.82969496614551</c:v>
                </c:pt>
                <c:pt idx="2">
                  <c:v>79.82969496614551</c:v>
                </c:pt>
              </c:numCache>
            </c:numRef>
          </c:val>
          <c:extLst xmlns:c16r2="http://schemas.microsoft.com/office/drawing/2015/06/chart">
            <c:ext xmlns:c16="http://schemas.microsoft.com/office/drawing/2014/chart" uri="{C3380CC4-5D6E-409C-BE32-E72D297353CC}">
              <c16:uniqueId val="{00000000-0C16-4A71-820B-01BDE91DF35D}"/>
            </c:ext>
          </c:extLst>
        </c:ser>
        <c:ser>
          <c:idx val="1"/>
          <c:order val="1"/>
          <c:tx>
            <c:strRef>
              <c:f>'Landbrug + Sammen fatning'!$A$59</c:f>
              <c:strCache>
                <c:ptCount val="1"/>
                <c:pt idx="0">
                  <c:v>Dyrehold</c:v>
                </c:pt>
              </c:strCache>
            </c:strRef>
          </c:tx>
          <c:spPr>
            <a:solidFill>
              <a:schemeClr val="accent2"/>
            </a:solidFill>
            <a:ln>
              <a:noFill/>
            </a:ln>
            <a:effectLst/>
          </c:spPr>
          <c:invertIfNegative val="0"/>
          <c:cat>
            <c:strRef>
              <c:extLst>
                <c:ext xmlns:c15="http://schemas.microsoft.com/office/drawing/2012/chart" uri="{02D57815-91ED-43cb-92C2-25804820EDAC}">
                  <c15:fullRef>
                    <c15:sqref>'Landbrug + Sammen fatning'!$B$41:$E$41</c15:sqref>
                  </c15:fullRef>
                </c:ext>
              </c:extLst>
              <c:f>('Landbrug + Sammen fatning'!$B$41:$C$41,'Landbrug + Sammen fatning'!$E$41)</c:f>
              <c:strCache>
                <c:ptCount val="3"/>
                <c:pt idx="0">
                  <c:v>1990</c:v>
                </c:pt>
                <c:pt idx="1">
                  <c:v>2018</c:v>
                </c:pt>
                <c:pt idx="2">
                  <c:v>BAU2050</c:v>
                </c:pt>
              </c:strCache>
            </c:strRef>
          </c:cat>
          <c:val>
            <c:numRef>
              <c:extLst>
                <c:ext xmlns:c15="http://schemas.microsoft.com/office/drawing/2012/chart" uri="{02D57815-91ED-43cb-92C2-25804820EDAC}">
                  <c15:fullRef>
                    <c15:sqref>'Landbrug + Sammen fatning'!$B$59:$E$59</c15:sqref>
                  </c15:fullRef>
                </c:ext>
              </c:extLst>
              <c:f>('Landbrug + Sammen fatning'!$B$59:$C$59,'Landbrug + Sammen fatning'!$E$59)</c:f>
              <c:numCache>
                <c:formatCode>0</c:formatCode>
                <c:ptCount val="3"/>
                <c:pt idx="0">
                  <c:v>107.39173062230901</c:v>
                </c:pt>
                <c:pt idx="1">
                  <c:v>105.05075526334019</c:v>
                </c:pt>
                <c:pt idx="2">
                  <c:v>104.88876526334019</c:v>
                </c:pt>
              </c:numCache>
            </c:numRef>
          </c:val>
          <c:extLst xmlns:c16r2="http://schemas.microsoft.com/office/drawing/2015/06/chart">
            <c:ext xmlns:c16="http://schemas.microsoft.com/office/drawing/2014/chart" uri="{C3380CC4-5D6E-409C-BE32-E72D297353CC}">
              <c16:uniqueId val="{00000001-0C16-4A71-820B-01BDE91DF35D}"/>
            </c:ext>
          </c:extLst>
        </c:ser>
        <c:ser>
          <c:idx val="2"/>
          <c:order val="2"/>
          <c:tx>
            <c:strRef>
              <c:f>'Landbrug + Sammen fatning'!$A$60</c:f>
              <c:strCache>
                <c:ptCount val="1"/>
                <c:pt idx="0">
                  <c:v>Industrielle processer</c:v>
                </c:pt>
              </c:strCache>
            </c:strRef>
          </c:tx>
          <c:spPr>
            <a:solidFill>
              <a:schemeClr val="accent3"/>
            </a:solidFill>
            <a:ln>
              <a:noFill/>
            </a:ln>
            <a:effectLst/>
          </c:spPr>
          <c:invertIfNegative val="0"/>
          <c:cat>
            <c:strRef>
              <c:extLst>
                <c:ext xmlns:c15="http://schemas.microsoft.com/office/drawing/2012/chart" uri="{02D57815-91ED-43cb-92C2-25804820EDAC}">
                  <c15:fullRef>
                    <c15:sqref>'Landbrug + Sammen fatning'!$B$41:$E$41</c15:sqref>
                  </c15:fullRef>
                </c:ext>
              </c:extLst>
              <c:f>('Landbrug + Sammen fatning'!$B$41:$C$41,'Landbrug + Sammen fatning'!$E$41)</c:f>
              <c:strCache>
                <c:ptCount val="3"/>
                <c:pt idx="0">
                  <c:v>1990</c:v>
                </c:pt>
                <c:pt idx="1">
                  <c:v>2018</c:v>
                </c:pt>
                <c:pt idx="2">
                  <c:v>BAU2050</c:v>
                </c:pt>
              </c:strCache>
            </c:strRef>
          </c:cat>
          <c:val>
            <c:numRef>
              <c:extLst>
                <c:ext xmlns:c15="http://schemas.microsoft.com/office/drawing/2012/chart" uri="{02D57815-91ED-43cb-92C2-25804820EDAC}">
                  <c15:fullRef>
                    <c15:sqref>'Landbrug + Sammen fatning'!$B$60:$E$60</c15:sqref>
                  </c15:fullRef>
                </c:ext>
              </c:extLst>
              <c:f>('Landbrug + Sammen fatning'!$B$60:$C$60,'Landbrug + Sammen fatning'!$E$60)</c:f>
              <c:numCache>
                <c:formatCode>0</c:formatCode>
                <c:ptCount val="3"/>
                <c:pt idx="0">
                  <c:v>14.412697225320425</c:v>
                </c:pt>
                <c:pt idx="1">
                  <c:v>13.272394849247927</c:v>
                </c:pt>
                <c:pt idx="2">
                  <c:v>13.272394849247927</c:v>
                </c:pt>
              </c:numCache>
            </c:numRef>
          </c:val>
          <c:extLst xmlns:c16r2="http://schemas.microsoft.com/office/drawing/2015/06/chart">
            <c:ext xmlns:c16="http://schemas.microsoft.com/office/drawing/2014/chart" uri="{C3380CC4-5D6E-409C-BE32-E72D297353CC}">
              <c16:uniqueId val="{00000002-0C16-4A71-820B-01BDE91DF35D}"/>
            </c:ext>
          </c:extLst>
        </c:ser>
        <c:ser>
          <c:idx val="3"/>
          <c:order val="3"/>
          <c:tx>
            <c:strRef>
              <c:f>'Landbrug + Sammen fatning'!$A$61</c:f>
              <c:strCache>
                <c:ptCount val="1"/>
                <c:pt idx="0">
                  <c:v>Transport</c:v>
                </c:pt>
              </c:strCache>
            </c:strRef>
          </c:tx>
          <c:spPr>
            <a:solidFill>
              <a:schemeClr val="accent4"/>
            </a:solidFill>
            <a:ln>
              <a:noFill/>
            </a:ln>
            <a:effectLst/>
          </c:spPr>
          <c:invertIfNegative val="0"/>
          <c:cat>
            <c:strRef>
              <c:extLst>
                <c:ext xmlns:c15="http://schemas.microsoft.com/office/drawing/2012/chart" uri="{02D57815-91ED-43cb-92C2-25804820EDAC}">
                  <c15:fullRef>
                    <c15:sqref>'Landbrug + Sammen fatning'!$B$41:$E$41</c15:sqref>
                  </c15:fullRef>
                </c:ext>
              </c:extLst>
              <c:f>('Landbrug + Sammen fatning'!$B$41:$C$41,'Landbrug + Sammen fatning'!$E$41)</c:f>
              <c:strCache>
                <c:ptCount val="3"/>
                <c:pt idx="0">
                  <c:v>1990</c:v>
                </c:pt>
                <c:pt idx="1">
                  <c:v>2018</c:v>
                </c:pt>
                <c:pt idx="2">
                  <c:v>BAU2050</c:v>
                </c:pt>
              </c:strCache>
            </c:strRef>
          </c:cat>
          <c:val>
            <c:numRef>
              <c:extLst>
                <c:ext xmlns:c15="http://schemas.microsoft.com/office/drawing/2012/chart" uri="{02D57815-91ED-43cb-92C2-25804820EDAC}">
                  <c15:fullRef>
                    <c15:sqref>'Landbrug + Sammen fatning'!$B$61:$E$61</c15:sqref>
                  </c15:fullRef>
                </c:ext>
              </c:extLst>
              <c:f>('Landbrug + Sammen fatning'!$B$61:$C$61,'Landbrug + Sammen fatning'!$E$61)</c:f>
              <c:numCache>
                <c:formatCode>#,##0</c:formatCode>
                <c:ptCount val="3"/>
                <c:pt idx="0">
                  <c:v>234.02307000000002</c:v>
                </c:pt>
                <c:pt idx="1">
                  <c:v>264.93598910000003</c:v>
                </c:pt>
                <c:pt idx="2">
                  <c:v>155.97907681999999</c:v>
                </c:pt>
              </c:numCache>
            </c:numRef>
          </c:val>
          <c:extLst xmlns:c16r2="http://schemas.microsoft.com/office/drawing/2015/06/chart">
            <c:ext xmlns:c16="http://schemas.microsoft.com/office/drawing/2014/chart" uri="{C3380CC4-5D6E-409C-BE32-E72D297353CC}">
              <c16:uniqueId val="{00000003-0C16-4A71-820B-01BDE91DF35D}"/>
            </c:ext>
          </c:extLst>
        </c:ser>
        <c:ser>
          <c:idx val="4"/>
          <c:order val="4"/>
          <c:tx>
            <c:strRef>
              <c:f>'Landbrug + Sammen fatning'!$A$62</c:f>
              <c:strCache>
                <c:ptCount val="1"/>
                <c:pt idx="0">
                  <c:v>Øvrig energisektor</c:v>
                </c:pt>
              </c:strCache>
            </c:strRef>
          </c:tx>
          <c:spPr>
            <a:solidFill>
              <a:schemeClr val="accent5"/>
            </a:solidFill>
            <a:ln>
              <a:noFill/>
            </a:ln>
            <a:effectLst/>
          </c:spPr>
          <c:invertIfNegative val="0"/>
          <c:cat>
            <c:strRef>
              <c:extLst>
                <c:ext xmlns:c15="http://schemas.microsoft.com/office/drawing/2012/chart" uri="{02D57815-91ED-43cb-92C2-25804820EDAC}">
                  <c15:fullRef>
                    <c15:sqref>'Landbrug + Sammen fatning'!$B$41:$E$41</c15:sqref>
                  </c15:fullRef>
                </c:ext>
              </c:extLst>
              <c:f>('Landbrug + Sammen fatning'!$B$41:$C$41,'Landbrug + Sammen fatning'!$E$41)</c:f>
              <c:strCache>
                <c:ptCount val="3"/>
                <c:pt idx="0">
                  <c:v>1990</c:v>
                </c:pt>
                <c:pt idx="1">
                  <c:v>2018</c:v>
                </c:pt>
                <c:pt idx="2">
                  <c:v>BAU2050</c:v>
                </c:pt>
              </c:strCache>
            </c:strRef>
          </c:cat>
          <c:val>
            <c:numRef>
              <c:extLst>
                <c:ext xmlns:c15="http://schemas.microsoft.com/office/drawing/2012/chart" uri="{02D57815-91ED-43cb-92C2-25804820EDAC}">
                  <c15:fullRef>
                    <c15:sqref>'Landbrug + Sammen fatning'!$B$62:$E$62</c15:sqref>
                  </c15:fullRef>
                </c:ext>
              </c:extLst>
              <c:f>('Landbrug + Sammen fatning'!$B$62:$C$62,'Landbrug + Sammen fatning'!$E$62)</c:f>
              <c:numCache>
                <c:formatCode>#,##0</c:formatCode>
                <c:ptCount val="3"/>
                <c:pt idx="0">
                  <c:v>605.41073572360835</c:v>
                </c:pt>
                <c:pt idx="1">
                  <c:v>71.605279374609225</c:v>
                </c:pt>
                <c:pt idx="2">
                  <c:v>65.643768100000003</c:v>
                </c:pt>
              </c:numCache>
            </c:numRef>
          </c:val>
          <c:extLst xmlns:c16r2="http://schemas.microsoft.com/office/drawing/2015/06/chart">
            <c:ext xmlns:c16="http://schemas.microsoft.com/office/drawing/2014/chart" uri="{C3380CC4-5D6E-409C-BE32-E72D297353CC}">
              <c16:uniqueId val="{00000004-0C16-4A71-820B-01BDE91DF35D}"/>
            </c:ext>
          </c:extLst>
        </c:ser>
        <c:ser>
          <c:idx val="5"/>
          <c:order val="5"/>
          <c:tx>
            <c:strRef>
              <c:f>'Landbrug + Sammen fatning'!$A$63</c:f>
              <c:strCache>
                <c:ptCount val="1"/>
                <c:pt idx="0">
                  <c:v>Arealanvendelse</c:v>
                </c:pt>
              </c:strCache>
            </c:strRef>
          </c:tx>
          <c:spPr>
            <a:solidFill>
              <a:schemeClr val="accent6"/>
            </a:solidFill>
            <a:ln>
              <a:noFill/>
            </a:ln>
            <a:effectLst/>
          </c:spPr>
          <c:invertIfNegative val="0"/>
          <c:cat>
            <c:strRef>
              <c:extLst>
                <c:ext xmlns:c15="http://schemas.microsoft.com/office/drawing/2012/chart" uri="{02D57815-91ED-43cb-92C2-25804820EDAC}">
                  <c15:fullRef>
                    <c15:sqref>'Landbrug + Sammen fatning'!$B$41:$E$41</c15:sqref>
                  </c15:fullRef>
                </c:ext>
              </c:extLst>
              <c:f>('Landbrug + Sammen fatning'!$B$41:$C$41,'Landbrug + Sammen fatning'!$E$41)</c:f>
              <c:strCache>
                <c:ptCount val="3"/>
                <c:pt idx="0">
                  <c:v>1990</c:v>
                </c:pt>
                <c:pt idx="1">
                  <c:v>2018</c:v>
                </c:pt>
                <c:pt idx="2">
                  <c:v>BAU2050</c:v>
                </c:pt>
              </c:strCache>
            </c:strRef>
          </c:cat>
          <c:val>
            <c:numRef>
              <c:extLst>
                <c:ext xmlns:c15="http://schemas.microsoft.com/office/drawing/2012/chart" uri="{02D57815-91ED-43cb-92C2-25804820EDAC}">
                  <c15:fullRef>
                    <c15:sqref>'Landbrug + Sammen fatning'!$B$63:$E$63</c15:sqref>
                  </c15:fullRef>
                </c:ext>
              </c:extLst>
              <c:f>('Landbrug + Sammen fatning'!$B$63:$C$63,'Landbrug + Sammen fatning'!$E$63)</c:f>
              <c:numCache>
                <c:formatCode>0</c:formatCode>
                <c:ptCount val="3"/>
                <c:pt idx="0">
                  <c:v>170.43198637333367</c:v>
                </c:pt>
                <c:pt idx="1">
                  <c:v>174.15180274126723</c:v>
                </c:pt>
                <c:pt idx="2">
                  <c:v>167.56737244062722</c:v>
                </c:pt>
              </c:numCache>
            </c:numRef>
          </c:val>
          <c:extLst xmlns:c16r2="http://schemas.microsoft.com/office/drawing/2015/06/chart">
            <c:ext xmlns:c16="http://schemas.microsoft.com/office/drawing/2014/chart" uri="{C3380CC4-5D6E-409C-BE32-E72D297353CC}">
              <c16:uniqueId val="{00000005-0C16-4A71-820B-01BDE91DF35D}"/>
            </c:ext>
          </c:extLst>
        </c:ser>
        <c:ser>
          <c:idx val="6"/>
          <c:order val="6"/>
          <c:tx>
            <c:strRef>
              <c:f>'Landbrug + Sammen fatning'!$A$64</c:f>
              <c:strCache>
                <c:ptCount val="1"/>
                <c:pt idx="0">
                  <c:v>Affald, spildevand og tilfældige brande</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'Landbrug + Sammen fatning'!$B$41:$E$41</c15:sqref>
                  </c15:fullRef>
                </c:ext>
              </c:extLst>
              <c:f>('Landbrug + Sammen fatning'!$B$41:$C$41,'Landbrug + Sammen fatning'!$E$41)</c:f>
              <c:strCache>
                <c:ptCount val="3"/>
                <c:pt idx="0">
                  <c:v>1990</c:v>
                </c:pt>
                <c:pt idx="1">
                  <c:v>2018</c:v>
                </c:pt>
                <c:pt idx="2">
                  <c:v>BAU2050</c:v>
                </c:pt>
              </c:strCache>
            </c:strRef>
          </c:cat>
          <c:val>
            <c:numRef>
              <c:extLst>
                <c:ext xmlns:c15="http://schemas.microsoft.com/office/drawing/2012/chart" uri="{02D57815-91ED-43cb-92C2-25804820EDAC}">
                  <c15:fullRef>
                    <c15:sqref>'Landbrug + Sammen fatning'!$B$64:$E$64</c15:sqref>
                  </c15:fullRef>
                </c:ext>
              </c:extLst>
              <c:f>('Landbrug + Sammen fatning'!$B$64:$C$64,'Landbrug + Sammen fatning'!$E$64)</c:f>
              <c:numCache>
                <c:formatCode>0</c:formatCode>
                <c:ptCount val="3"/>
                <c:pt idx="0">
                  <c:v>26.304454352618855</c:v>
                </c:pt>
                <c:pt idx="1">
                  <c:v>19.467183153051408</c:v>
                </c:pt>
                <c:pt idx="2">
                  <c:v>13.274866529442289</c:v>
                </c:pt>
              </c:numCache>
            </c:numRef>
          </c:val>
          <c:extLst xmlns:c16r2="http://schemas.microsoft.com/office/drawing/2015/06/chart">
            <c:ext xmlns:c16="http://schemas.microsoft.com/office/drawing/2014/chart" uri="{C3380CC4-5D6E-409C-BE32-E72D297353CC}">
              <c16:uniqueId val="{00000006-0C16-4A71-820B-01BDE91DF35D}"/>
            </c:ext>
          </c:extLst>
        </c:ser>
        <c:dLbls>
          <c:showLegendKey val="0"/>
          <c:showVal val="0"/>
          <c:showCatName val="0"/>
          <c:showSerName val="0"/>
          <c:showPercent val="0"/>
          <c:showBubbleSize val="0"/>
        </c:dLbls>
        <c:gapWidth val="150"/>
        <c:overlap val="100"/>
        <c:axId val="462523552"/>
        <c:axId val="462523944"/>
      </c:barChart>
      <c:catAx>
        <c:axId val="46252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crossAx val="462523944"/>
        <c:crosses val="autoZero"/>
        <c:auto val="1"/>
        <c:lblAlgn val="ctr"/>
        <c:lblOffset val="100"/>
        <c:noMultiLvlLbl val="0"/>
      </c:catAx>
      <c:valAx>
        <c:axId val="462523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b="1"/>
                  <a:t>1.000</a:t>
                </a:r>
                <a:r>
                  <a:rPr lang="da-DK" b="1" baseline="0"/>
                  <a:t> tons/år</a:t>
                </a:r>
                <a:endParaRPr lang="da-DK"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crossAx val="462523552"/>
        <c:crosses val="autoZero"/>
        <c:crossBetween val="between"/>
      </c:valAx>
      <c:spPr>
        <a:noFill/>
        <a:ln>
          <a:noFill/>
        </a:ln>
        <a:effectLst/>
      </c:spPr>
    </c:plotArea>
    <c:legend>
      <c:legendPos val="b"/>
      <c:layout>
        <c:manualLayout>
          <c:xMode val="edge"/>
          <c:yMode val="edge"/>
          <c:x val="0.69492377822870832"/>
          <c:y val="0.21911110619813493"/>
          <c:w val="0.27832409662110524"/>
          <c:h val="0.51958634202982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08148981377322E-2"/>
          <c:y val="8.4287026274529456E-2"/>
          <c:w val="0.64751356080489941"/>
          <c:h val="0.80759809895338064"/>
        </c:manualLayout>
      </c:layout>
      <c:barChart>
        <c:barDir val="col"/>
        <c:grouping val="stacked"/>
        <c:varyColors val="0"/>
        <c:ser>
          <c:idx val="0"/>
          <c:order val="0"/>
          <c:tx>
            <c:strRef>
              <c:f>'Landbrug + Sammen fatning'!$A$42</c:f>
              <c:strCache>
                <c:ptCount val="1"/>
                <c:pt idx="0">
                  <c:v>Individuel opvarmning</c:v>
                </c:pt>
              </c:strCache>
            </c:strRef>
          </c:tx>
          <c:spPr>
            <a:solidFill>
              <a:schemeClr val="accent1"/>
            </a:solidFill>
            <a:ln>
              <a:noFill/>
            </a:ln>
            <a:effectLst/>
          </c:spPr>
          <c:invertIfNegative val="0"/>
          <c:cat>
            <c:strRef>
              <c:f>'Landbrug + Sammen fatning'!$B$41:$E$41</c:f>
              <c:strCache>
                <c:ptCount val="4"/>
                <c:pt idx="0">
                  <c:v>1990</c:v>
                </c:pt>
                <c:pt idx="1">
                  <c:v>2018</c:v>
                </c:pt>
                <c:pt idx="2">
                  <c:v>BAU2030</c:v>
                </c:pt>
                <c:pt idx="3">
                  <c:v>BAU2050</c:v>
                </c:pt>
              </c:strCache>
            </c:strRef>
          </c:cat>
          <c:val>
            <c:numRef>
              <c:f>'Landbrug + Sammen fatning'!$B$42:$E$42</c:f>
              <c:numCache>
                <c:formatCode>#,##0</c:formatCode>
                <c:ptCount val="4"/>
                <c:pt idx="0">
                  <c:v>126.533946</c:v>
                </c:pt>
                <c:pt idx="1">
                  <c:v>31.159299999999998</c:v>
                </c:pt>
                <c:pt idx="2">
                  <c:v>18.755078399999999</c:v>
                </c:pt>
                <c:pt idx="3">
                  <c:v>15.64992</c:v>
                </c:pt>
              </c:numCache>
            </c:numRef>
          </c:val>
          <c:extLst xmlns:c16r2="http://schemas.microsoft.com/office/drawing/2015/06/chart">
            <c:ext xmlns:c16="http://schemas.microsoft.com/office/drawing/2014/chart" uri="{C3380CC4-5D6E-409C-BE32-E72D297353CC}">
              <c16:uniqueId val="{00000000-F824-45BD-8AAD-4DD2817D9C5A}"/>
            </c:ext>
          </c:extLst>
        </c:ser>
        <c:ser>
          <c:idx val="1"/>
          <c:order val="1"/>
          <c:tx>
            <c:strRef>
              <c:f>'Landbrug + Sammen fatning'!$A$43</c:f>
              <c:strCache>
                <c:ptCount val="1"/>
                <c:pt idx="0">
                  <c:v>Kollektiv el- og varmeforsyning</c:v>
                </c:pt>
              </c:strCache>
            </c:strRef>
          </c:tx>
          <c:spPr>
            <a:solidFill>
              <a:schemeClr val="accent2"/>
            </a:solidFill>
            <a:ln>
              <a:noFill/>
            </a:ln>
            <a:effectLst/>
          </c:spPr>
          <c:invertIfNegative val="0"/>
          <c:cat>
            <c:strRef>
              <c:f>'Landbrug + Sammen fatning'!$B$41:$E$41</c:f>
              <c:strCache>
                <c:ptCount val="4"/>
                <c:pt idx="0">
                  <c:v>1990</c:v>
                </c:pt>
                <c:pt idx="1">
                  <c:v>2018</c:v>
                </c:pt>
                <c:pt idx="2">
                  <c:v>BAU2030</c:v>
                </c:pt>
                <c:pt idx="3">
                  <c:v>BAU2050</c:v>
                </c:pt>
              </c:strCache>
            </c:strRef>
          </c:cat>
          <c:val>
            <c:numRef>
              <c:f>'Landbrug + Sammen fatning'!$B$43:$E$43</c:f>
              <c:numCache>
                <c:formatCode>#,##0</c:formatCode>
                <c:ptCount val="4"/>
                <c:pt idx="0">
                  <c:v>203.65582000000001</c:v>
                </c:pt>
                <c:pt idx="1">
                  <c:v>12.205934999999998</c:v>
                </c:pt>
                <c:pt idx="2">
                  <c:v>5.8416998399999995</c:v>
                </c:pt>
                <c:pt idx="3">
                  <c:v>5.5004481000000007</c:v>
                </c:pt>
              </c:numCache>
            </c:numRef>
          </c:val>
          <c:extLst xmlns:c16r2="http://schemas.microsoft.com/office/drawing/2015/06/chart">
            <c:ext xmlns:c16="http://schemas.microsoft.com/office/drawing/2014/chart" uri="{C3380CC4-5D6E-409C-BE32-E72D297353CC}">
              <c16:uniqueId val="{00000001-F824-45BD-8AAD-4DD2817D9C5A}"/>
            </c:ext>
          </c:extLst>
        </c:ser>
        <c:ser>
          <c:idx val="2"/>
          <c:order val="2"/>
          <c:tx>
            <c:strRef>
              <c:f>'Landbrug + Sammen fatning'!$A$44</c:f>
              <c:strCache>
                <c:ptCount val="1"/>
                <c:pt idx="0">
                  <c:v>Industri (energi)</c:v>
                </c:pt>
              </c:strCache>
            </c:strRef>
          </c:tx>
          <c:spPr>
            <a:solidFill>
              <a:schemeClr val="accent3"/>
            </a:solidFill>
            <a:ln>
              <a:noFill/>
            </a:ln>
            <a:effectLst/>
          </c:spPr>
          <c:invertIfNegative val="0"/>
          <c:cat>
            <c:strRef>
              <c:f>'Landbrug + Sammen fatning'!$B$41:$E$41</c:f>
              <c:strCache>
                <c:ptCount val="4"/>
                <c:pt idx="0">
                  <c:v>1990</c:v>
                </c:pt>
                <c:pt idx="1">
                  <c:v>2018</c:v>
                </c:pt>
                <c:pt idx="2">
                  <c:v>BAU2030</c:v>
                </c:pt>
                <c:pt idx="3">
                  <c:v>BAU2050</c:v>
                </c:pt>
              </c:strCache>
            </c:strRef>
          </c:cat>
          <c:val>
            <c:numRef>
              <c:f>'Landbrug + Sammen fatning'!$B$44:$E$44</c:f>
              <c:numCache>
                <c:formatCode>#,##0</c:formatCode>
                <c:ptCount val="4"/>
                <c:pt idx="0">
                  <c:v>54.537596999999998</c:v>
                </c:pt>
                <c:pt idx="1">
                  <c:v>44.493400000000001</c:v>
                </c:pt>
                <c:pt idx="2">
                  <c:v>44.493400000000001</c:v>
                </c:pt>
                <c:pt idx="3">
                  <c:v>44.493400000000001</c:v>
                </c:pt>
              </c:numCache>
            </c:numRef>
          </c:val>
          <c:extLst xmlns:c16r2="http://schemas.microsoft.com/office/drawing/2015/06/chart">
            <c:ext xmlns:c16="http://schemas.microsoft.com/office/drawing/2014/chart" uri="{C3380CC4-5D6E-409C-BE32-E72D297353CC}">
              <c16:uniqueId val="{00000002-F824-45BD-8AAD-4DD2817D9C5A}"/>
            </c:ext>
          </c:extLst>
        </c:ser>
        <c:ser>
          <c:idx val="3"/>
          <c:order val="3"/>
          <c:tx>
            <c:strRef>
              <c:f>'Landbrug + Sammen fatning'!$A$45</c:f>
              <c:strCache>
                <c:ptCount val="1"/>
                <c:pt idx="0">
                  <c:v>Transport</c:v>
                </c:pt>
              </c:strCache>
            </c:strRef>
          </c:tx>
          <c:spPr>
            <a:solidFill>
              <a:schemeClr val="accent4"/>
            </a:solidFill>
            <a:ln>
              <a:noFill/>
            </a:ln>
            <a:effectLst/>
          </c:spPr>
          <c:invertIfNegative val="0"/>
          <c:cat>
            <c:strRef>
              <c:f>'Landbrug + Sammen fatning'!$B$41:$E$41</c:f>
              <c:strCache>
                <c:ptCount val="4"/>
                <c:pt idx="0">
                  <c:v>1990</c:v>
                </c:pt>
                <c:pt idx="1">
                  <c:v>2018</c:v>
                </c:pt>
                <c:pt idx="2">
                  <c:v>BAU2030</c:v>
                </c:pt>
                <c:pt idx="3">
                  <c:v>BAU2050</c:v>
                </c:pt>
              </c:strCache>
            </c:strRef>
          </c:cat>
          <c:val>
            <c:numRef>
              <c:f>'Landbrug + Sammen fatning'!$B$45:$E$45</c:f>
              <c:numCache>
                <c:formatCode>#,##0</c:formatCode>
                <c:ptCount val="4"/>
                <c:pt idx="0">
                  <c:v>234.02307000000002</c:v>
                </c:pt>
                <c:pt idx="1">
                  <c:v>264.93598910000003</c:v>
                </c:pt>
                <c:pt idx="2">
                  <c:v>243.40470786900002</c:v>
                </c:pt>
                <c:pt idx="3">
                  <c:v>155.97907681999999</c:v>
                </c:pt>
              </c:numCache>
            </c:numRef>
          </c:val>
          <c:extLst xmlns:c16r2="http://schemas.microsoft.com/office/drawing/2015/06/chart">
            <c:ext xmlns:c16="http://schemas.microsoft.com/office/drawing/2014/chart" uri="{C3380CC4-5D6E-409C-BE32-E72D297353CC}">
              <c16:uniqueId val="{00000003-F824-45BD-8AAD-4DD2817D9C5A}"/>
            </c:ext>
          </c:extLst>
        </c:ser>
        <c:ser>
          <c:idx val="4"/>
          <c:order val="4"/>
          <c:tx>
            <c:strRef>
              <c:f>'Landbrug + Sammen fatning'!$A$46</c:f>
              <c:strCache>
                <c:ptCount val="1"/>
                <c:pt idx="0">
                  <c:v>El-import</c:v>
                </c:pt>
              </c:strCache>
            </c:strRef>
          </c:tx>
          <c:spPr>
            <a:solidFill>
              <a:schemeClr val="accent5"/>
            </a:solidFill>
            <a:ln>
              <a:noFill/>
            </a:ln>
            <a:effectLst/>
          </c:spPr>
          <c:invertIfNegative val="0"/>
          <c:cat>
            <c:strRef>
              <c:f>'Landbrug + Sammen fatning'!$B$41:$E$41</c:f>
              <c:strCache>
                <c:ptCount val="4"/>
                <c:pt idx="0">
                  <c:v>1990</c:v>
                </c:pt>
                <c:pt idx="1">
                  <c:v>2018</c:v>
                </c:pt>
                <c:pt idx="2">
                  <c:v>BAU2030</c:v>
                </c:pt>
                <c:pt idx="3">
                  <c:v>BAU2050</c:v>
                </c:pt>
              </c:strCache>
            </c:strRef>
          </c:cat>
          <c:val>
            <c:numRef>
              <c:f>'Landbrug + Sammen fatning'!$B$46:$E$46</c:f>
              <c:numCache>
                <c:formatCode>#,##0</c:formatCode>
                <c:ptCount val="4"/>
                <c:pt idx="0">
                  <c:v>220.68337272360841</c:v>
                </c:pt>
                <c:pt idx="1">
                  <c:v>-16.253355625390768</c:v>
                </c:pt>
                <c:pt idx="2">
                  <c:v>0</c:v>
                </c:pt>
                <c:pt idx="3">
                  <c:v>0</c:v>
                </c:pt>
              </c:numCache>
            </c:numRef>
          </c:val>
          <c:extLst xmlns:c16r2="http://schemas.microsoft.com/office/drawing/2015/06/chart">
            <c:ext xmlns:c16="http://schemas.microsoft.com/office/drawing/2014/chart" uri="{C3380CC4-5D6E-409C-BE32-E72D297353CC}">
              <c16:uniqueId val="{00000004-F824-45BD-8AAD-4DD2817D9C5A}"/>
            </c:ext>
          </c:extLst>
        </c:ser>
        <c:ser>
          <c:idx val="5"/>
          <c:order val="5"/>
          <c:tx>
            <c:strRef>
              <c:f>'Landbrug + Sammen fatning'!$A$47</c:f>
              <c:strCache>
                <c:ptCount val="1"/>
                <c:pt idx="0">
                  <c:v>Landbrug og arealanvendelse</c:v>
                </c:pt>
              </c:strCache>
            </c:strRef>
          </c:tx>
          <c:spPr>
            <a:solidFill>
              <a:schemeClr val="accent6"/>
            </a:solidFill>
            <a:ln>
              <a:noFill/>
            </a:ln>
            <a:effectLst/>
          </c:spPr>
          <c:invertIfNegative val="0"/>
          <c:cat>
            <c:strRef>
              <c:f>'Landbrug + Sammen fatning'!$B$41:$E$41</c:f>
              <c:strCache>
                <c:ptCount val="4"/>
                <c:pt idx="0">
                  <c:v>1990</c:v>
                </c:pt>
                <c:pt idx="1">
                  <c:v>2018</c:v>
                </c:pt>
                <c:pt idx="2">
                  <c:v>BAU2030</c:v>
                </c:pt>
                <c:pt idx="3">
                  <c:v>BAU2050</c:v>
                </c:pt>
              </c:strCache>
            </c:strRef>
          </c:cat>
          <c:val>
            <c:numRef>
              <c:f>'Landbrug + Sammen fatning'!$B$47:$E$47</c:f>
              <c:numCache>
                <c:formatCode>#,##0</c:formatCode>
                <c:ptCount val="4"/>
                <c:pt idx="0">
                  <c:v>382.61007189378495</c:v>
                </c:pt>
                <c:pt idx="1">
                  <c:v>359.03225297075289</c:v>
                </c:pt>
                <c:pt idx="2">
                  <c:v>352.28583267011288</c:v>
                </c:pt>
                <c:pt idx="3">
                  <c:v>352.28583267011288</c:v>
                </c:pt>
              </c:numCache>
            </c:numRef>
          </c:val>
          <c:extLst xmlns:c16r2="http://schemas.microsoft.com/office/drawing/2015/06/chart">
            <c:ext xmlns:c16="http://schemas.microsoft.com/office/drawing/2014/chart" uri="{C3380CC4-5D6E-409C-BE32-E72D297353CC}">
              <c16:uniqueId val="{00000005-F824-45BD-8AAD-4DD2817D9C5A}"/>
            </c:ext>
          </c:extLst>
        </c:ser>
        <c:ser>
          <c:idx val="6"/>
          <c:order val="6"/>
          <c:tx>
            <c:strRef>
              <c:f>'Landbrug + Sammen fatning'!$A$48</c:f>
              <c:strCache>
                <c:ptCount val="1"/>
                <c:pt idx="0">
                  <c:v>Industrielle processer</c:v>
                </c:pt>
              </c:strCache>
            </c:strRef>
          </c:tx>
          <c:spPr>
            <a:solidFill>
              <a:schemeClr val="accent1">
                <a:lumMod val="60000"/>
              </a:schemeClr>
            </a:solidFill>
            <a:ln>
              <a:noFill/>
            </a:ln>
            <a:effectLst/>
          </c:spPr>
          <c:invertIfNegative val="0"/>
          <c:cat>
            <c:strRef>
              <c:f>'Landbrug + Sammen fatning'!$B$41:$E$41</c:f>
              <c:strCache>
                <c:ptCount val="4"/>
                <c:pt idx="0">
                  <c:v>1990</c:v>
                </c:pt>
                <c:pt idx="1">
                  <c:v>2018</c:v>
                </c:pt>
                <c:pt idx="2">
                  <c:v>BAU2030</c:v>
                </c:pt>
                <c:pt idx="3">
                  <c:v>BAU2050</c:v>
                </c:pt>
              </c:strCache>
            </c:strRef>
          </c:cat>
          <c:val>
            <c:numRef>
              <c:f>'Landbrug + Sammen fatning'!$B$48:$E$48</c:f>
              <c:numCache>
                <c:formatCode>#,##0</c:formatCode>
                <c:ptCount val="4"/>
                <c:pt idx="0">
                  <c:v>14.412697225320425</c:v>
                </c:pt>
                <c:pt idx="1">
                  <c:v>13.272394849247927</c:v>
                </c:pt>
                <c:pt idx="2">
                  <c:v>13.272394849247927</c:v>
                </c:pt>
                <c:pt idx="3">
                  <c:v>13.272394849247927</c:v>
                </c:pt>
              </c:numCache>
            </c:numRef>
          </c:val>
          <c:extLst xmlns:c16r2="http://schemas.microsoft.com/office/drawing/2015/06/chart">
            <c:ext xmlns:c16="http://schemas.microsoft.com/office/drawing/2014/chart" uri="{C3380CC4-5D6E-409C-BE32-E72D297353CC}">
              <c16:uniqueId val="{00000006-F824-45BD-8AAD-4DD2817D9C5A}"/>
            </c:ext>
          </c:extLst>
        </c:ser>
        <c:ser>
          <c:idx val="7"/>
          <c:order val="7"/>
          <c:tx>
            <c:strRef>
              <c:f>'Landbrug + Sammen fatning'!$A$49</c:f>
              <c:strCache>
                <c:ptCount val="1"/>
                <c:pt idx="0">
                  <c:v>Affald og spildevand</c:v>
                </c:pt>
              </c:strCache>
            </c:strRef>
          </c:tx>
          <c:spPr>
            <a:solidFill>
              <a:schemeClr val="accent2">
                <a:lumMod val="60000"/>
              </a:schemeClr>
            </a:solidFill>
            <a:ln>
              <a:noFill/>
            </a:ln>
            <a:effectLst/>
          </c:spPr>
          <c:invertIfNegative val="0"/>
          <c:cat>
            <c:strRef>
              <c:f>'Landbrug + Sammen fatning'!$B$41:$E$41</c:f>
              <c:strCache>
                <c:ptCount val="4"/>
                <c:pt idx="0">
                  <c:v>1990</c:v>
                </c:pt>
                <c:pt idx="1">
                  <c:v>2018</c:v>
                </c:pt>
                <c:pt idx="2">
                  <c:v>BAU2030</c:v>
                </c:pt>
                <c:pt idx="3">
                  <c:v>BAU2050</c:v>
                </c:pt>
              </c:strCache>
            </c:strRef>
          </c:cat>
          <c:val>
            <c:numRef>
              <c:f>'Landbrug + Sammen fatning'!$B$49:$E$49</c:f>
              <c:numCache>
                <c:formatCode>#,##0</c:formatCode>
                <c:ptCount val="4"/>
                <c:pt idx="0">
                  <c:v>26.304454352618855</c:v>
                </c:pt>
                <c:pt idx="1">
                  <c:v>19.467183153051408</c:v>
                </c:pt>
                <c:pt idx="2">
                  <c:v>17.08552291320175</c:v>
                </c:pt>
                <c:pt idx="3">
                  <c:v>13.274866529442289</c:v>
                </c:pt>
              </c:numCache>
            </c:numRef>
          </c:val>
          <c:extLst xmlns:c16r2="http://schemas.microsoft.com/office/drawing/2015/06/chart">
            <c:ext xmlns:c16="http://schemas.microsoft.com/office/drawing/2014/chart" uri="{C3380CC4-5D6E-409C-BE32-E72D297353CC}">
              <c16:uniqueId val="{00000007-F824-45BD-8AAD-4DD2817D9C5A}"/>
            </c:ext>
          </c:extLst>
        </c:ser>
        <c:dLbls>
          <c:showLegendKey val="0"/>
          <c:showVal val="0"/>
          <c:showCatName val="0"/>
          <c:showSerName val="0"/>
          <c:showPercent val="0"/>
          <c:showBubbleSize val="0"/>
        </c:dLbls>
        <c:gapWidth val="150"/>
        <c:overlap val="100"/>
        <c:axId val="462520808"/>
        <c:axId val="462525512"/>
      </c:barChart>
      <c:catAx>
        <c:axId val="46252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2525512"/>
        <c:crosses val="autoZero"/>
        <c:auto val="1"/>
        <c:lblAlgn val="ctr"/>
        <c:lblOffset val="100"/>
        <c:noMultiLvlLbl val="0"/>
      </c:catAx>
      <c:valAx>
        <c:axId val="462525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252080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hyperlink" Target="#Grafer!B88"/><Relationship Id="rId39" Type="http://schemas.openxmlformats.org/officeDocument/2006/relationships/hyperlink" Target="#Grafer!B266"/><Relationship Id="rId21" Type="http://schemas.openxmlformats.org/officeDocument/2006/relationships/chart" Target="../charts/chart21.xml"/><Relationship Id="rId34" Type="http://schemas.openxmlformats.org/officeDocument/2006/relationships/hyperlink" Target="#Grafer!B1149"/><Relationship Id="rId42" Type="http://schemas.openxmlformats.org/officeDocument/2006/relationships/hyperlink" Target="#Grafer!B516"/><Relationship Id="rId47" Type="http://schemas.openxmlformats.org/officeDocument/2006/relationships/hyperlink" Target="#Grafer!B442"/><Relationship Id="rId50" Type="http://schemas.openxmlformats.org/officeDocument/2006/relationships/hyperlink" Target="#Grafer!B811"/><Relationship Id="rId55" Type="http://schemas.openxmlformats.org/officeDocument/2006/relationships/chart" Target="../charts/chart26.xml"/><Relationship Id="rId63" Type="http://schemas.openxmlformats.org/officeDocument/2006/relationships/chart" Target="../charts/chart3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hyperlink" Target="#Grafer!B676"/><Relationship Id="rId41" Type="http://schemas.openxmlformats.org/officeDocument/2006/relationships/hyperlink" Target="#Grafer!B486"/><Relationship Id="rId54" Type="http://schemas.openxmlformats.org/officeDocument/2006/relationships/hyperlink" Target="#Grafer!B1005"/><Relationship Id="rId62" Type="http://schemas.openxmlformats.org/officeDocument/2006/relationships/chart" Target="../charts/chart3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hyperlink" Target="#Grafer!B1053"/><Relationship Id="rId37" Type="http://schemas.openxmlformats.org/officeDocument/2006/relationships/hyperlink" Target="#Grafer!B208"/><Relationship Id="rId40" Type="http://schemas.openxmlformats.org/officeDocument/2006/relationships/hyperlink" Target="#Grafer!B296"/><Relationship Id="rId45" Type="http://schemas.openxmlformats.org/officeDocument/2006/relationships/hyperlink" Target="#Grafer!B366"/><Relationship Id="rId53" Type="http://schemas.openxmlformats.org/officeDocument/2006/relationships/hyperlink" Target="#Grafer!B976"/><Relationship Id="rId58" Type="http://schemas.openxmlformats.org/officeDocument/2006/relationships/chart" Target="../charts/chart2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hyperlink" Target="#Grafer!B635"/><Relationship Id="rId36" Type="http://schemas.openxmlformats.org/officeDocument/2006/relationships/hyperlink" Target="#Grafer!B179"/><Relationship Id="rId49" Type="http://schemas.openxmlformats.org/officeDocument/2006/relationships/hyperlink" Target="#Grafer!B902"/><Relationship Id="rId57" Type="http://schemas.openxmlformats.org/officeDocument/2006/relationships/chart" Target="../charts/chart27.xml"/><Relationship Id="rId61" Type="http://schemas.openxmlformats.org/officeDocument/2006/relationships/chart" Target="../charts/chart3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hyperlink" Target="#Grafer!B1197"/><Relationship Id="rId44" Type="http://schemas.openxmlformats.org/officeDocument/2006/relationships/hyperlink" Target="#Grafer!B337"/><Relationship Id="rId52" Type="http://schemas.openxmlformats.org/officeDocument/2006/relationships/hyperlink" Target="#Grafer!B946"/><Relationship Id="rId60" Type="http://schemas.openxmlformats.org/officeDocument/2006/relationships/chart" Target="../charts/chart3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hyperlink" Target="#Grafer!B605"/><Relationship Id="rId30" Type="http://schemas.openxmlformats.org/officeDocument/2006/relationships/hyperlink" Target="#Grafer!B706"/><Relationship Id="rId35" Type="http://schemas.openxmlformats.org/officeDocument/2006/relationships/hyperlink" Target="#Grafer!B149"/><Relationship Id="rId43" Type="http://schemas.openxmlformats.org/officeDocument/2006/relationships/hyperlink" Target="#Grafer!B546"/><Relationship Id="rId48" Type="http://schemas.openxmlformats.org/officeDocument/2006/relationships/hyperlink" Target="#Grafer!B777"/><Relationship Id="rId56" Type="http://schemas.openxmlformats.org/officeDocument/2006/relationships/hyperlink" Target="#Grafer!A1"/><Relationship Id="rId8" Type="http://schemas.openxmlformats.org/officeDocument/2006/relationships/chart" Target="../charts/chart8.xml"/><Relationship Id="rId51" Type="http://schemas.openxmlformats.org/officeDocument/2006/relationships/hyperlink" Target="#Grafer!B840"/><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hyperlink" Target="#Grafer!B1104"/><Relationship Id="rId38" Type="http://schemas.openxmlformats.org/officeDocument/2006/relationships/hyperlink" Target="#Grafer!B237"/><Relationship Id="rId46" Type="http://schemas.openxmlformats.org/officeDocument/2006/relationships/hyperlink" Target="#Grafer!B396"/><Relationship Id="rId59"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5" Type="http://schemas.openxmlformats.org/officeDocument/2006/relationships/chart" Target="../charts/chart38.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24</xdr:col>
      <xdr:colOff>0</xdr:colOff>
      <xdr:row>87</xdr:row>
      <xdr:rowOff>0</xdr:rowOff>
    </xdr:from>
    <xdr:to>
      <xdr:col>24</xdr:col>
      <xdr:colOff>1673567</xdr:colOff>
      <xdr:row>87</xdr:row>
      <xdr:rowOff>413143</xdr:rowOff>
    </xdr:to>
    <xdr:pic>
      <xdr:nvPicPr>
        <xdr:cNvPr id="3" name="Billede 0" descr="logo.wmf">
          <a:extLst>
            <a:ext uri="{FF2B5EF4-FFF2-40B4-BE49-F238E27FC236}">
              <a16:creationId xmlns:a16="http://schemas.microsoft.com/office/drawing/2014/main" xmlns="" id="{CBD45951-3913-45D4-8278-A7A5F7B6D1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58700" y="18449925"/>
          <a:ext cx="1678329" cy="4179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87</xdr:row>
      <xdr:rowOff>0</xdr:rowOff>
    </xdr:from>
    <xdr:to>
      <xdr:col>24</xdr:col>
      <xdr:colOff>1673567</xdr:colOff>
      <xdr:row>87</xdr:row>
      <xdr:rowOff>413143</xdr:rowOff>
    </xdr:to>
    <xdr:pic>
      <xdr:nvPicPr>
        <xdr:cNvPr id="18" name="Billede 0" descr="logo.wmf">
          <a:extLst>
            <a:ext uri="{FF2B5EF4-FFF2-40B4-BE49-F238E27FC236}">
              <a16:creationId xmlns:a16="http://schemas.microsoft.com/office/drawing/2014/main" xmlns="" id="{6D4045D2-9B84-4E4A-910A-162BD54B7A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41125" y="18621375"/>
          <a:ext cx="1673567" cy="413143"/>
        </a:xfrm>
        <a:prstGeom prst="rect">
          <a:avLst/>
        </a:prstGeom>
        <a:noFill/>
        <a:ln w="9525">
          <a:noFill/>
          <a:miter lim="800000"/>
          <a:headEnd/>
          <a:tailEnd/>
        </a:ln>
      </xdr:spPr>
    </xdr:pic>
    <xdr:clientData/>
  </xdr:twoCellAnchor>
  <xdr:twoCellAnchor>
    <xdr:from>
      <xdr:col>24</xdr:col>
      <xdr:colOff>0</xdr:colOff>
      <xdr:row>87</xdr:row>
      <xdr:rowOff>0</xdr:rowOff>
    </xdr:from>
    <xdr:to>
      <xdr:col>24</xdr:col>
      <xdr:colOff>1673567</xdr:colOff>
      <xdr:row>87</xdr:row>
      <xdr:rowOff>413143</xdr:rowOff>
    </xdr:to>
    <xdr:pic>
      <xdr:nvPicPr>
        <xdr:cNvPr id="3" name="Billede 0" descr="logo.wmf">
          <a:extLst>
            <a:ext uri="{FF2B5EF4-FFF2-40B4-BE49-F238E27FC236}">
              <a16:creationId xmlns:a16="http://schemas.microsoft.com/office/drawing/2014/main" xmlns="" id="{A257047A-6A8C-452F-B6F0-2FAF03AE35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34775" y="18554700"/>
          <a:ext cx="1673567" cy="413143"/>
        </a:xfrm>
        <a:prstGeom prst="rect">
          <a:avLst/>
        </a:prstGeom>
        <a:noFill/>
        <a:ln w="9525">
          <a:noFill/>
          <a:miter lim="800000"/>
          <a:headEnd/>
          <a:tailEnd/>
        </a:ln>
      </xdr:spPr>
    </xdr:pic>
    <xdr:clientData/>
  </xdr:twoCellAnchor>
  <xdr:twoCellAnchor>
    <xdr:from>
      <xdr:col>24</xdr:col>
      <xdr:colOff>0</xdr:colOff>
      <xdr:row>87</xdr:row>
      <xdr:rowOff>0</xdr:rowOff>
    </xdr:from>
    <xdr:to>
      <xdr:col>29</xdr:col>
      <xdr:colOff>404132</xdr:colOff>
      <xdr:row>87</xdr:row>
      <xdr:rowOff>745672</xdr:rowOff>
    </xdr:to>
    <xdr:grpSp>
      <xdr:nvGrpSpPr>
        <xdr:cNvPr id="4" name="Gruppe 3">
          <a:extLst>
            <a:ext uri="{FF2B5EF4-FFF2-40B4-BE49-F238E27FC236}">
              <a16:creationId xmlns:a16="http://schemas.microsoft.com/office/drawing/2014/main" xmlns="" id="{072B2336-5B1C-4621-8EE0-ABE70DD0A8EC}"/>
            </a:ext>
          </a:extLst>
        </xdr:cNvPr>
        <xdr:cNvGrpSpPr>
          <a:grpSpLocks/>
        </xdr:cNvGrpSpPr>
      </xdr:nvGrpSpPr>
      <xdr:grpSpPr bwMode="auto">
        <a:xfrm>
          <a:off x="11665324" y="18556941"/>
          <a:ext cx="5861396" cy="745672"/>
          <a:chOff x="12495439" y="13596257"/>
          <a:chExt cx="5783036" cy="704850"/>
        </a:xfrm>
      </xdr:grpSpPr>
      <xdr:pic>
        <xdr:nvPicPr>
          <xdr:cNvPr id="5" name="Picture 9" descr="RM's logo">
            <a:extLst>
              <a:ext uri="{FF2B5EF4-FFF2-40B4-BE49-F238E27FC236}">
                <a16:creationId xmlns:a16="http://schemas.microsoft.com/office/drawing/2014/main" xmlns="" id="{6315534E-5CCF-4DC9-BFED-7428868238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 name="Billede 0" descr="logo.wmf">
            <a:extLst>
              <a:ext uri="{FF2B5EF4-FFF2-40B4-BE49-F238E27FC236}">
                <a16:creationId xmlns:a16="http://schemas.microsoft.com/office/drawing/2014/main" xmlns="" id="{390E26AC-D219-446B-8B04-9D04CCEB1A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7" name="Gruppe 3">
          <a:extLst>
            <a:ext uri="{FF2B5EF4-FFF2-40B4-BE49-F238E27FC236}">
              <a16:creationId xmlns:a16="http://schemas.microsoft.com/office/drawing/2014/main" xmlns="" id="{A2B028C1-DB20-4C75-B21E-1479AF2C0D9E}"/>
            </a:ext>
          </a:extLst>
        </xdr:cNvPr>
        <xdr:cNvGrpSpPr>
          <a:grpSpLocks/>
        </xdr:cNvGrpSpPr>
      </xdr:nvGrpSpPr>
      <xdr:grpSpPr bwMode="auto">
        <a:xfrm>
          <a:off x="11665324" y="18556941"/>
          <a:ext cx="5861396" cy="745672"/>
          <a:chOff x="12495439" y="13596257"/>
          <a:chExt cx="5783036" cy="704850"/>
        </a:xfrm>
      </xdr:grpSpPr>
      <xdr:pic>
        <xdr:nvPicPr>
          <xdr:cNvPr id="8" name="Picture 9" descr="RM's logo">
            <a:extLst>
              <a:ext uri="{FF2B5EF4-FFF2-40B4-BE49-F238E27FC236}">
                <a16:creationId xmlns:a16="http://schemas.microsoft.com/office/drawing/2014/main" xmlns="" id="{7A8D4DCE-00EB-408A-BEB1-A3FC767AED5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9" name="Billede 0" descr="logo.wmf">
            <a:extLst>
              <a:ext uri="{FF2B5EF4-FFF2-40B4-BE49-F238E27FC236}">
                <a16:creationId xmlns:a16="http://schemas.microsoft.com/office/drawing/2014/main" xmlns="" id="{B9518EAF-26FF-4B36-AE66-E2A1C1FF72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0" name="Gruppe 3">
          <a:extLst>
            <a:ext uri="{FF2B5EF4-FFF2-40B4-BE49-F238E27FC236}">
              <a16:creationId xmlns:a16="http://schemas.microsoft.com/office/drawing/2014/main" xmlns="" id="{8A68EF02-DB65-4460-925E-D56E3021CE71}"/>
            </a:ext>
          </a:extLst>
        </xdr:cNvPr>
        <xdr:cNvGrpSpPr>
          <a:grpSpLocks/>
        </xdr:cNvGrpSpPr>
      </xdr:nvGrpSpPr>
      <xdr:grpSpPr bwMode="auto">
        <a:xfrm>
          <a:off x="11665324" y="18556941"/>
          <a:ext cx="5861396" cy="745672"/>
          <a:chOff x="12495439" y="13596257"/>
          <a:chExt cx="5783036" cy="704850"/>
        </a:xfrm>
      </xdr:grpSpPr>
      <xdr:pic>
        <xdr:nvPicPr>
          <xdr:cNvPr id="11" name="Picture 9" descr="RM's logo">
            <a:extLst>
              <a:ext uri="{FF2B5EF4-FFF2-40B4-BE49-F238E27FC236}">
                <a16:creationId xmlns:a16="http://schemas.microsoft.com/office/drawing/2014/main" xmlns="" id="{102F8EA9-A784-442C-9BF7-844BA55A52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xmlns="" id="{44EB5332-0B86-48B7-A900-5705A22108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87</xdr:row>
      <xdr:rowOff>0</xdr:rowOff>
    </xdr:from>
    <xdr:to>
      <xdr:col>24</xdr:col>
      <xdr:colOff>1673567</xdr:colOff>
      <xdr:row>87</xdr:row>
      <xdr:rowOff>413143</xdr:rowOff>
    </xdr:to>
    <xdr:pic>
      <xdr:nvPicPr>
        <xdr:cNvPr id="17" name="Billede 0" descr="logo.wmf">
          <a:extLst>
            <a:ext uri="{FF2B5EF4-FFF2-40B4-BE49-F238E27FC236}">
              <a16:creationId xmlns:a16="http://schemas.microsoft.com/office/drawing/2014/main" xmlns="" id="{4BE28765-6B7A-4B49-B034-CA92E40C10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38857" y="18546536"/>
          <a:ext cx="1673567" cy="413143"/>
        </a:xfrm>
        <a:prstGeom prst="rect">
          <a:avLst/>
        </a:prstGeom>
        <a:noFill/>
        <a:ln w="9525">
          <a:noFill/>
          <a:miter lim="800000"/>
          <a:headEnd/>
          <a:tailEnd/>
        </a:ln>
      </xdr:spPr>
    </xdr:pic>
    <xdr:clientData/>
  </xdr:twoCellAnchor>
  <xdr:twoCellAnchor>
    <xdr:from>
      <xdr:col>24</xdr:col>
      <xdr:colOff>0</xdr:colOff>
      <xdr:row>87</xdr:row>
      <xdr:rowOff>0</xdr:rowOff>
    </xdr:from>
    <xdr:to>
      <xdr:col>29</xdr:col>
      <xdr:colOff>404132</xdr:colOff>
      <xdr:row>87</xdr:row>
      <xdr:rowOff>745672</xdr:rowOff>
    </xdr:to>
    <xdr:grpSp>
      <xdr:nvGrpSpPr>
        <xdr:cNvPr id="3" name="Gruppe 3">
          <a:extLst>
            <a:ext uri="{FF2B5EF4-FFF2-40B4-BE49-F238E27FC236}">
              <a16:creationId xmlns:a16="http://schemas.microsoft.com/office/drawing/2014/main" xmlns="" id="{47484551-F05C-4909-9641-E40F8233F3F2}"/>
            </a:ext>
          </a:extLst>
        </xdr:cNvPr>
        <xdr:cNvGrpSpPr>
          <a:grpSpLocks/>
        </xdr:cNvGrpSpPr>
      </xdr:nvGrpSpPr>
      <xdr:grpSpPr bwMode="auto">
        <a:xfrm>
          <a:off x="11538857" y="18546536"/>
          <a:ext cx="5411561" cy="745672"/>
          <a:chOff x="12495439" y="13596257"/>
          <a:chExt cx="5783036" cy="704850"/>
        </a:xfrm>
      </xdr:grpSpPr>
      <xdr:pic>
        <xdr:nvPicPr>
          <xdr:cNvPr id="4" name="Picture 9" descr="RM's logo">
            <a:extLst>
              <a:ext uri="{FF2B5EF4-FFF2-40B4-BE49-F238E27FC236}">
                <a16:creationId xmlns:a16="http://schemas.microsoft.com/office/drawing/2014/main" xmlns="" id="{723D891B-FB97-4B6C-B05E-031CB82AE6A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 name="Billede 0" descr="logo.wmf">
            <a:extLst>
              <a:ext uri="{FF2B5EF4-FFF2-40B4-BE49-F238E27FC236}">
                <a16:creationId xmlns:a16="http://schemas.microsoft.com/office/drawing/2014/main" xmlns="" id="{F6F95E08-E3FD-454F-B61A-E5E5D9508B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 name="Gruppe 3">
          <a:extLst>
            <a:ext uri="{FF2B5EF4-FFF2-40B4-BE49-F238E27FC236}">
              <a16:creationId xmlns:a16="http://schemas.microsoft.com/office/drawing/2014/main" xmlns="" id="{C1D1D5DD-97A2-4A8D-B0E6-1E2B02239002}"/>
            </a:ext>
          </a:extLst>
        </xdr:cNvPr>
        <xdr:cNvGrpSpPr>
          <a:grpSpLocks/>
        </xdr:cNvGrpSpPr>
      </xdr:nvGrpSpPr>
      <xdr:grpSpPr bwMode="auto">
        <a:xfrm>
          <a:off x="1153885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xmlns="" id="{BBE3E988-0303-4FE9-ABC5-9118CE2A198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xmlns="" id="{2D46BA3B-4488-4A9A-AA0D-4B23636471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2" name="Gruppe 3">
          <a:extLst>
            <a:ext uri="{FF2B5EF4-FFF2-40B4-BE49-F238E27FC236}">
              <a16:creationId xmlns:a16="http://schemas.microsoft.com/office/drawing/2014/main" xmlns="" id="{1A1D670B-E578-4961-A000-16A223969DFF}"/>
            </a:ext>
          </a:extLst>
        </xdr:cNvPr>
        <xdr:cNvGrpSpPr>
          <a:grpSpLocks/>
        </xdr:cNvGrpSpPr>
      </xdr:nvGrpSpPr>
      <xdr:grpSpPr bwMode="auto">
        <a:xfrm>
          <a:off x="11538857" y="18546536"/>
          <a:ext cx="5411561" cy="745672"/>
          <a:chOff x="12495439" y="13596257"/>
          <a:chExt cx="5783036" cy="704850"/>
        </a:xfrm>
      </xdr:grpSpPr>
      <xdr:pic>
        <xdr:nvPicPr>
          <xdr:cNvPr id="13" name="Picture 9" descr="RM's logo">
            <a:extLst>
              <a:ext uri="{FF2B5EF4-FFF2-40B4-BE49-F238E27FC236}">
                <a16:creationId xmlns:a16="http://schemas.microsoft.com/office/drawing/2014/main" xmlns="" id="{ED1F44D0-B8F9-4056-87EF-B897CE8C18E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xmlns="" id="{3B6A5618-2318-4B6F-8753-E675FA908F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404403</xdr:colOff>
      <xdr:row>87</xdr:row>
      <xdr:rowOff>241840</xdr:rowOff>
    </xdr:from>
    <xdr:to>
      <xdr:col>24</xdr:col>
      <xdr:colOff>2077970</xdr:colOff>
      <xdr:row>87</xdr:row>
      <xdr:rowOff>654983</xdr:rowOff>
    </xdr:to>
    <xdr:pic>
      <xdr:nvPicPr>
        <xdr:cNvPr id="2" name="Billede 0" descr="logo.wmf">
          <a:extLst>
            <a:ext uri="{FF2B5EF4-FFF2-40B4-BE49-F238E27FC236}">
              <a16:creationId xmlns:a16="http://schemas.microsoft.com/office/drawing/2014/main" xmlns="" id="{32BBA681-4A1A-4CD6-81E7-7041ED24B9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39178" y="18710815"/>
          <a:ext cx="1673567" cy="413143"/>
        </a:xfrm>
        <a:prstGeom prst="rect">
          <a:avLst/>
        </a:prstGeom>
        <a:noFill/>
        <a:ln w="9525">
          <a:noFill/>
          <a:miter lim="800000"/>
          <a:headEnd/>
          <a:tailEnd/>
        </a:ln>
      </xdr:spPr>
    </xdr:pic>
    <xdr:clientData/>
  </xdr:twoCellAnchor>
  <xdr:twoCellAnchor>
    <xdr:from>
      <xdr:col>24</xdr:col>
      <xdr:colOff>404403</xdr:colOff>
      <xdr:row>87</xdr:row>
      <xdr:rowOff>241840</xdr:rowOff>
    </xdr:from>
    <xdr:to>
      <xdr:col>24</xdr:col>
      <xdr:colOff>2077970</xdr:colOff>
      <xdr:row>87</xdr:row>
      <xdr:rowOff>654983</xdr:rowOff>
    </xdr:to>
    <xdr:pic>
      <xdr:nvPicPr>
        <xdr:cNvPr id="3" name="Billede 0" descr="logo.wmf">
          <a:extLst>
            <a:ext uri="{FF2B5EF4-FFF2-40B4-BE49-F238E27FC236}">
              <a16:creationId xmlns:a16="http://schemas.microsoft.com/office/drawing/2014/main" xmlns="" id="{AA766EC0-924A-48B4-96AA-83370F7629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39178" y="18710815"/>
          <a:ext cx="1673567" cy="413143"/>
        </a:xfrm>
        <a:prstGeom prst="rect">
          <a:avLst/>
        </a:prstGeom>
        <a:noFill/>
        <a:ln w="9525">
          <a:noFill/>
          <a:miter lim="800000"/>
          <a:headEnd/>
          <a:tailEnd/>
        </a:ln>
      </xdr:spPr>
    </xdr:pic>
    <xdr:clientData/>
  </xdr:twoCellAnchor>
  <xdr:twoCellAnchor>
    <xdr:from>
      <xdr:col>24</xdr:col>
      <xdr:colOff>404403</xdr:colOff>
      <xdr:row>87</xdr:row>
      <xdr:rowOff>241840</xdr:rowOff>
    </xdr:from>
    <xdr:to>
      <xdr:col>24</xdr:col>
      <xdr:colOff>2077970</xdr:colOff>
      <xdr:row>87</xdr:row>
      <xdr:rowOff>654983</xdr:rowOff>
    </xdr:to>
    <xdr:pic>
      <xdr:nvPicPr>
        <xdr:cNvPr id="4" name="Billede 0" descr="logo.wmf">
          <a:extLst>
            <a:ext uri="{FF2B5EF4-FFF2-40B4-BE49-F238E27FC236}">
              <a16:creationId xmlns:a16="http://schemas.microsoft.com/office/drawing/2014/main" xmlns="" id="{D3CAF278-2D48-4751-A356-FC3713E87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39178" y="18653665"/>
          <a:ext cx="1673567" cy="413143"/>
        </a:xfrm>
        <a:prstGeom prst="rect">
          <a:avLst/>
        </a:prstGeom>
        <a:noFill/>
        <a:ln w="9525">
          <a:noFill/>
          <a:miter lim="800000"/>
          <a:headEnd/>
          <a:tailEnd/>
        </a:ln>
      </xdr:spPr>
    </xdr:pic>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xmlns="" id="{66E67857-F818-48F1-BAF8-34C1455086A1}"/>
            </a:ext>
          </a:extLst>
        </xdr:cNvPr>
        <xdr:cNvGrpSpPr>
          <a:grpSpLocks/>
        </xdr:cNvGrpSpPr>
      </xdr:nvGrpSpPr>
      <xdr:grpSpPr bwMode="auto">
        <a:xfrm>
          <a:off x="11538857" y="18492107"/>
          <a:ext cx="5411561" cy="745672"/>
          <a:chOff x="12495439" y="13596257"/>
          <a:chExt cx="5783036" cy="704850"/>
        </a:xfrm>
      </xdr:grpSpPr>
      <xdr:pic>
        <xdr:nvPicPr>
          <xdr:cNvPr id="6" name="Picture 9" descr="RM's logo">
            <a:extLst>
              <a:ext uri="{FF2B5EF4-FFF2-40B4-BE49-F238E27FC236}">
                <a16:creationId xmlns:a16="http://schemas.microsoft.com/office/drawing/2014/main" xmlns="" id="{AC06EA5E-AC2F-4EF5-8D7E-6F2785DD57C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xmlns="" id="{1D7938CA-D66A-4745-B1B9-80E279EFBF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30416</xdr:colOff>
      <xdr:row>582</xdr:row>
      <xdr:rowOff>23548</xdr:rowOff>
    </xdr:from>
    <xdr:to>
      <xdr:col>6</xdr:col>
      <xdr:colOff>540505</xdr:colOff>
      <xdr:row>607</xdr:row>
      <xdr:rowOff>61490</xdr:rowOff>
    </xdr:to>
    <xdr:graphicFrame macro="">
      <xdr:nvGraphicFramePr>
        <xdr:cNvPr id="2" name="Diagram 16">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244</xdr:row>
      <xdr:rowOff>34017</xdr:rowOff>
    </xdr:from>
    <xdr:to>
      <xdr:col>7</xdr:col>
      <xdr:colOff>819973</xdr:colOff>
      <xdr:row>268</xdr:row>
      <xdr:rowOff>107817</xdr:rowOff>
    </xdr:to>
    <xdr:graphicFrame macro="">
      <xdr:nvGraphicFramePr>
        <xdr:cNvPr id="3" name="Diagram 19">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315</xdr:row>
      <xdr:rowOff>28576</xdr:rowOff>
    </xdr:from>
    <xdr:to>
      <xdr:col>6</xdr:col>
      <xdr:colOff>501203</xdr:colOff>
      <xdr:row>339</xdr:row>
      <xdr:rowOff>60296</xdr:rowOff>
    </xdr:to>
    <xdr:graphicFrame macro="">
      <xdr:nvGraphicFramePr>
        <xdr:cNvPr id="4" name="Diagram 21">
          <a:extLst>
            <a:ext uri="{FF2B5EF4-FFF2-40B4-BE49-F238E27FC236}">
              <a16:creationId xmlns:a16="http://schemas.microsoft.com/office/drawing/2014/main" xmlns=""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17368</xdr:colOff>
      <xdr:row>373</xdr:row>
      <xdr:rowOff>39781</xdr:rowOff>
    </xdr:from>
    <xdr:to>
      <xdr:col>9</xdr:col>
      <xdr:colOff>369794</xdr:colOff>
      <xdr:row>398</xdr:row>
      <xdr:rowOff>77722</xdr:rowOff>
    </xdr:to>
    <xdr:graphicFrame macro="">
      <xdr:nvGraphicFramePr>
        <xdr:cNvPr id="5" name="Diagram 21">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653</xdr:row>
      <xdr:rowOff>28574</xdr:rowOff>
    </xdr:from>
    <xdr:to>
      <xdr:col>6</xdr:col>
      <xdr:colOff>557713</xdr:colOff>
      <xdr:row>678</xdr:row>
      <xdr:rowOff>66515</xdr:rowOff>
    </xdr:to>
    <xdr:graphicFrame macro="">
      <xdr:nvGraphicFramePr>
        <xdr:cNvPr id="6" name="Diagram 21">
          <a:extLst>
            <a:ext uri="{FF2B5EF4-FFF2-40B4-BE49-F238E27FC236}">
              <a16:creationId xmlns:a16="http://schemas.microsoft.com/office/drawing/2014/main" xmlns=""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463</xdr:row>
      <xdr:rowOff>33617</xdr:rowOff>
    </xdr:from>
    <xdr:to>
      <xdr:col>6</xdr:col>
      <xdr:colOff>533061</xdr:colOff>
      <xdr:row>488</xdr:row>
      <xdr:rowOff>71558</xdr:rowOff>
    </xdr:to>
    <xdr:graphicFrame macro="">
      <xdr:nvGraphicFramePr>
        <xdr:cNvPr id="7" name="Diagram 23">
          <a:extLst>
            <a:ext uri="{FF2B5EF4-FFF2-40B4-BE49-F238E27FC236}">
              <a16:creationId xmlns:a16="http://schemas.microsoft.com/office/drawing/2014/main" xmlns=""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63</xdr:row>
      <xdr:rowOff>38100</xdr:rowOff>
    </xdr:from>
    <xdr:to>
      <xdr:col>6</xdr:col>
      <xdr:colOff>371475</xdr:colOff>
      <xdr:row>87</xdr:row>
      <xdr:rowOff>0</xdr:rowOff>
    </xdr:to>
    <xdr:graphicFrame macro="">
      <xdr:nvGraphicFramePr>
        <xdr:cNvPr id="8" name="Diagram 15">
          <a:extLst>
            <a:ext uri="{FF2B5EF4-FFF2-40B4-BE49-F238E27FC236}">
              <a16:creationId xmlns:a16="http://schemas.microsoft.com/office/drawing/2014/main" xmlns=""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877</xdr:row>
      <xdr:rowOff>8405</xdr:rowOff>
    </xdr:from>
    <xdr:to>
      <xdr:col>6</xdr:col>
      <xdr:colOff>515692</xdr:colOff>
      <xdr:row>906</xdr:row>
      <xdr:rowOff>138817</xdr:rowOff>
    </xdr:to>
    <xdr:graphicFrame macro="">
      <xdr:nvGraphicFramePr>
        <xdr:cNvPr id="9" name="Diagram 15">
          <a:extLst>
            <a:ext uri="{FF2B5EF4-FFF2-40B4-BE49-F238E27FC236}">
              <a16:creationId xmlns:a16="http://schemas.microsoft.com/office/drawing/2014/main" xmlns=""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7684</xdr:colOff>
      <xdr:row>750</xdr:row>
      <xdr:rowOff>54750</xdr:rowOff>
    </xdr:from>
    <xdr:to>
      <xdr:col>6</xdr:col>
      <xdr:colOff>517773</xdr:colOff>
      <xdr:row>780</xdr:row>
      <xdr:rowOff>28280</xdr:rowOff>
    </xdr:to>
    <xdr:graphicFrame macro="">
      <xdr:nvGraphicFramePr>
        <xdr:cNvPr id="14" name="Diagram 15">
          <a:extLst>
            <a:ext uri="{FF2B5EF4-FFF2-40B4-BE49-F238E27FC236}">
              <a16:creationId xmlns:a16="http://schemas.microsoft.com/office/drawing/2014/main" xmlns=""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xmlns=""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848</xdr:row>
      <xdr:rowOff>61071</xdr:rowOff>
    </xdr:from>
    <xdr:to>
      <xdr:col>4</xdr:col>
      <xdr:colOff>659911</xdr:colOff>
      <xdr:row>853</xdr:row>
      <xdr:rowOff>134471</xdr:rowOff>
    </xdr:to>
    <xdr:sp macro="" textlink="">
      <xdr:nvSpPr>
        <xdr:cNvPr id="16" name="Tekstboks 15">
          <a:extLst>
            <a:ext uri="{FF2B5EF4-FFF2-40B4-BE49-F238E27FC236}">
              <a16:creationId xmlns:a16="http://schemas.microsoft.com/office/drawing/2014/main" xmlns=""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Slutforbrug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xmlns=""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186</xdr:row>
      <xdr:rowOff>11205</xdr:rowOff>
    </xdr:from>
    <xdr:to>
      <xdr:col>6</xdr:col>
      <xdr:colOff>495041</xdr:colOff>
      <xdr:row>210</xdr:row>
      <xdr:rowOff>52348</xdr:rowOff>
    </xdr:to>
    <xdr:graphicFrame macro="">
      <xdr:nvGraphicFramePr>
        <xdr:cNvPr id="18" name="Diagram 17">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3363</xdr:colOff>
      <xdr:row>215</xdr:row>
      <xdr:rowOff>11205</xdr:rowOff>
    </xdr:from>
    <xdr:to>
      <xdr:col>6</xdr:col>
      <xdr:colOff>495041</xdr:colOff>
      <xdr:row>239</xdr:row>
      <xdr:rowOff>52348</xdr:rowOff>
    </xdr:to>
    <xdr:graphicFrame macro="">
      <xdr:nvGraphicFramePr>
        <xdr:cNvPr id="19" name="Diagram 18">
          <a:extLst>
            <a:ext uri="{FF2B5EF4-FFF2-40B4-BE49-F238E27FC236}">
              <a16:creationId xmlns:a16="http://schemas.microsoft.com/office/drawing/2014/main" xmlns=""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27776</xdr:colOff>
      <xdr:row>127</xdr:row>
      <xdr:rowOff>30653</xdr:rowOff>
    </xdr:from>
    <xdr:to>
      <xdr:col>7</xdr:col>
      <xdr:colOff>266700</xdr:colOff>
      <xdr:row>151</xdr:row>
      <xdr:rowOff>104453</xdr:rowOff>
    </xdr:to>
    <xdr:graphicFrame macro="">
      <xdr:nvGraphicFramePr>
        <xdr:cNvPr id="20" name="Diagram 15">
          <a:extLst>
            <a:ext uri="{FF2B5EF4-FFF2-40B4-BE49-F238E27FC236}">
              <a16:creationId xmlns:a16="http://schemas.microsoft.com/office/drawing/2014/main" xmlns=""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2425</xdr:colOff>
      <xdr:row>156</xdr:row>
      <xdr:rowOff>36739</xdr:rowOff>
    </xdr:from>
    <xdr:to>
      <xdr:col>6</xdr:col>
      <xdr:colOff>515875</xdr:colOff>
      <xdr:row>181</xdr:row>
      <xdr:rowOff>74681</xdr:rowOff>
    </xdr:to>
    <xdr:graphicFrame macro="">
      <xdr:nvGraphicFramePr>
        <xdr:cNvPr id="21" name="Diagram 20">
          <a:extLst>
            <a:ext uri="{FF2B5EF4-FFF2-40B4-BE49-F238E27FC236}">
              <a16:creationId xmlns:a16="http://schemas.microsoft.com/office/drawing/2014/main" xmlns=""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22413</xdr:colOff>
      <xdr:row>273</xdr:row>
      <xdr:rowOff>44821</xdr:rowOff>
    </xdr:from>
    <xdr:to>
      <xdr:col>6</xdr:col>
      <xdr:colOff>532502</xdr:colOff>
      <xdr:row>298</xdr:row>
      <xdr:rowOff>82762</xdr:rowOff>
    </xdr:to>
    <xdr:graphicFrame macro="">
      <xdr:nvGraphicFramePr>
        <xdr:cNvPr id="22" name="Diagram 21">
          <a:extLst>
            <a:ext uri="{FF2B5EF4-FFF2-40B4-BE49-F238E27FC236}">
              <a16:creationId xmlns:a16="http://schemas.microsoft.com/office/drawing/2014/main" xmlns=""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27214</xdr:colOff>
      <xdr:row>612</xdr:row>
      <xdr:rowOff>23933</xdr:rowOff>
    </xdr:from>
    <xdr:to>
      <xdr:col>6</xdr:col>
      <xdr:colOff>537303</xdr:colOff>
      <xdr:row>637</xdr:row>
      <xdr:rowOff>61875</xdr:rowOff>
    </xdr:to>
    <xdr:graphicFrame macro="">
      <xdr:nvGraphicFramePr>
        <xdr:cNvPr id="23" name="Diagram 22">
          <a:extLst>
            <a:ext uri="{FF2B5EF4-FFF2-40B4-BE49-F238E27FC236}">
              <a16:creationId xmlns:a16="http://schemas.microsoft.com/office/drawing/2014/main" xmlns=""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27216</xdr:colOff>
      <xdr:row>344</xdr:row>
      <xdr:rowOff>36738</xdr:rowOff>
    </xdr:from>
    <xdr:to>
      <xdr:col>6</xdr:col>
      <xdr:colOff>518894</xdr:colOff>
      <xdr:row>368</xdr:row>
      <xdr:rowOff>77881</xdr:rowOff>
    </xdr:to>
    <xdr:graphicFrame macro="">
      <xdr:nvGraphicFramePr>
        <xdr:cNvPr id="24" name="Diagram 23">
          <a:extLst>
            <a:ext uri="{FF2B5EF4-FFF2-40B4-BE49-F238E27FC236}">
              <a16:creationId xmlns:a16="http://schemas.microsoft.com/office/drawing/2014/main" xmlns=""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560292</xdr:colOff>
      <xdr:row>419</xdr:row>
      <xdr:rowOff>26173</xdr:rowOff>
    </xdr:from>
    <xdr:to>
      <xdr:col>6</xdr:col>
      <xdr:colOff>465263</xdr:colOff>
      <xdr:row>444</xdr:row>
      <xdr:rowOff>64115</xdr:rowOff>
    </xdr:to>
    <xdr:graphicFrame macro="">
      <xdr:nvGraphicFramePr>
        <xdr:cNvPr id="25" name="Diagram 24">
          <a:extLst>
            <a:ext uri="{FF2B5EF4-FFF2-40B4-BE49-F238E27FC236}">
              <a16:creationId xmlns:a16="http://schemas.microsoft.com/office/drawing/2014/main" xmlns=""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493</xdr:row>
      <xdr:rowOff>0</xdr:rowOff>
    </xdr:from>
    <xdr:to>
      <xdr:col>6</xdr:col>
      <xdr:colOff>510089</xdr:colOff>
      <xdr:row>518</xdr:row>
      <xdr:rowOff>37941</xdr:rowOff>
    </xdr:to>
    <xdr:graphicFrame macro="">
      <xdr:nvGraphicFramePr>
        <xdr:cNvPr id="26" name="Diagram 23">
          <a:extLst>
            <a:ext uri="{FF2B5EF4-FFF2-40B4-BE49-F238E27FC236}">
              <a16:creationId xmlns:a16="http://schemas.microsoft.com/office/drawing/2014/main" xmlns=""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11766</xdr:colOff>
      <xdr:row>523</xdr:row>
      <xdr:rowOff>44823</xdr:rowOff>
    </xdr:from>
    <xdr:to>
      <xdr:col>6</xdr:col>
      <xdr:colOff>521855</xdr:colOff>
      <xdr:row>548</xdr:row>
      <xdr:rowOff>82764</xdr:rowOff>
    </xdr:to>
    <xdr:graphicFrame macro="">
      <xdr:nvGraphicFramePr>
        <xdr:cNvPr id="27" name="Diagram 23">
          <a:extLst>
            <a:ext uri="{FF2B5EF4-FFF2-40B4-BE49-F238E27FC236}">
              <a16:creationId xmlns:a16="http://schemas.microsoft.com/office/drawing/2014/main" xmlns=""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553</xdr:row>
      <xdr:rowOff>33616</xdr:rowOff>
    </xdr:from>
    <xdr:to>
      <xdr:col>4</xdr:col>
      <xdr:colOff>649940</xdr:colOff>
      <xdr:row>559</xdr:row>
      <xdr:rowOff>100853</xdr:rowOff>
    </xdr:to>
    <xdr:sp macro="" textlink="">
      <xdr:nvSpPr>
        <xdr:cNvPr id="28" name="Tekstboks 27">
          <a:extLst>
            <a:ext uri="{FF2B5EF4-FFF2-40B4-BE49-F238E27FC236}">
              <a16:creationId xmlns:a16="http://schemas.microsoft.com/office/drawing/2014/main" xmlns=""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683</xdr:row>
      <xdr:rowOff>28574</xdr:rowOff>
    </xdr:from>
    <xdr:to>
      <xdr:col>6</xdr:col>
      <xdr:colOff>576763</xdr:colOff>
      <xdr:row>708</xdr:row>
      <xdr:rowOff>66516</xdr:rowOff>
    </xdr:to>
    <xdr:graphicFrame macro="">
      <xdr:nvGraphicFramePr>
        <xdr:cNvPr id="29" name="Diagram 21">
          <a:extLst>
            <a:ext uri="{FF2B5EF4-FFF2-40B4-BE49-F238E27FC236}">
              <a16:creationId xmlns:a16="http://schemas.microsoft.com/office/drawing/2014/main" xmlns=""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33618</xdr:colOff>
      <xdr:row>720</xdr:row>
      <xdr:rowOff>145677</xdr:rowOff>
    </xdr:from>
    <xdr:to>
      <xdr:col>4</xdr:col>
      <xdr:colOff>674479</xdr:colOff>
      <xdr:row>726</xdr:row>
      <xdr:rowOff>141084</xdr:rowOff>
    </xdr:to>
    <xdr:sp macro="" textlink="">
      <xdr:nvSpPr>
        <xdr:cNvPr id="30" name="Tekstboks 29">
          <a:extLst>
            <a:ext uri="{FF2B5EF4-FFF2-40B4-BE49-F238E27FC236}">
              <a16:creationId xmlns:a16="http://schemas.microsoft.com/office/drawing/2014/main" xmlns="" id="{00000000-0008-0000-0A00-00001E000000}"/>
            </a:ext>
          </a:extLst>
        </xdr:cNvPr>
        <xdr:cNvSpPr txBox="1"/>
      </xdr:nvSpPr>
      <xdr:spPr>
        <a:xfrm>
          <a:off x="643218" y="117446052"/>
          <a:ext cx="5403361" cy="96695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Udvidede endelige 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udvidede endelige energiforbrug fremkommer ved at tage det endelige energiforbrug og lægge distributionstabet fra elektricitets- og fjernvarmedistribution oveni, samt egetforbruget af elektricitet og fjernvarme ved samproduktion af disse på værker.</a:t>
          </a:r>
        </a:p>
      </xdr:txBody>
    </xdr:sp>
    <xdr:clientData/>
  </xdr:twoCellAnchor>
  <xdr:twoCellAnchor>
    <xdr:from>
      <xdr:col>1</xdr:col>
      <xdr:colOff>44823</xdr:colOff>
      <xdr:row>713</xdr:row>
      <xdr:rowOff>112058</xdr:rowOff>
    </xdr:from>
    <xdr:to>
      <xdr:col>4</xdr:col>
      <xdr:colOff>685684</xdr:colOff>
      <xdr:row>719</xdr:row>
      <xdr:rowOff>107466</xdr:rowOff>
    </xdr:to>
    <xdr:sp macro="" textlink="">
      <xdr:nvSpPr>
        <xdr:cNvPr id="31" name="Tekstboks 30">
          <a:extLst>
            <a:ext uri="{FF2B5EF4-FFF2-40B4-BE49-F238E27FC236}">
              <a16:creationId xmlns:a16="http://schemas.microsoft.com/office/drawing/2014/main" xmlns="" id="{00000000-0008-0000-0A00-00001F000000}"/>
            </a:ext>
          </a:extLst>
        </xdr:cNvPr>
        <xdr:cNvSpPr txBox="1"/>
      </xdr:nvSpPr>
      <xdr:spPr>
        <a:xfrm>
          <a:off x="654423" y="116278958"/>
          <a:ext cx="5403361" cy="966958"/>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Endeligt 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leveret til slutbrugeren (an forbruger), eksempelvis boliger, offentlig service eller fremstillingsvirksomheder. Den leverede energi anvendes derefter til fremstilling af varer og tjenester, rumopvarmning, belysning og andet apparatforbrug samt transport.</a:t>
          </a:r>
        </a:p>
      </xdr:txBody>
    </xdr:sp>
    <xdr:clientData/>
  </xdr:twoCellAnchor>
  <xdr:twoCellAnchor>
    <xdr:from>
      <xdr:col>0</xdr:col>
      <xdr:colOff>609599</xdr:colOff>
      <xdr:row>785</xdr:row>
      <xdr:rowOff>23811</xdr:rowOff>
    </xdr:from>
    <xdr:to>
      <xdr:col>6</xdr:col>
      <xdr:colOff>733424</xdr:colOff>
      <xdr:row>814</xdr:row>
      <xdr:rowOff>95249</xdr:rowOff>
    </xdr:to>
    <xdr:graphicFrame macro="">
      <xdr:nvGraphicFramePr>
        <xdr:cNvPr id="32" name="Diagram 31">
          <a:extLst>
            <a:ext uri="{FF2B5EF4-FFF2-40B4-BE49-F238E27FC236}">
              <a16:creationId xmlns:a16="http://schemas.microsoft.com/office/drawing/2014/main" xmlns=""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1361</xdr:colOff>
      <xdr:row>819</xdr:row>
      <xdr:rowOff>12926</xdr:rowOff>
    </xdr:from>
    <xdr:to>
      <xdr:col>6</xdr:col>
      <xdr:colOff>518892</xdr:colOff>
      <xdr:row>843</xdr:row>
      <xdr:rowOff>86727</xdr:rowOff>
    </xdr:to>
    <xdr:graphicFrame macro="">
      <xdr:nvGraphicFramePr>
        <xdr:cNvPr id="33" name="Diagram 32">
          <a:extLst>
            <a:ext uri="{FF2B5EF4-FFF2-40B4-BE49-F238E27FC236}">
              <a16:creationId xmlns:a16="http://schemas.microsoft.com/office/drawing/2014/main" xmlns=""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11205</xdr:colOff>
      <xdr:row>955</xdr:row>
      <xdr:rowOff>34737</xdr:rowOff>
    </xdr:from>
    <xdr:to>
      <xdr:col>6</xdr:col>
      <xdr:colOff>521294</xdr:colOff>
      <xdr:row>980</xdr:row>
      <xdr:rowOff>72679</xdr:rowOff>
    </xdr:to>
    <xdr:graphicFrame macro="">
      <xdr:nvGraphicFramePr>
        <xdr:cNvPr id="34" name="Diagram 33">
          <a:extLst>
            <a:ext uri="{FF2B5EF4-FFF2-40B4-BE49-F238E27FC236}">
              <a16:creationId xmlns:a16="http://schemas.microsoft.com/office/drawing/2014/main" xmlns=""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925</xdr:row>
      <xdr:rowOff>23531</xdr:rowOff>
    </xdr:from>
    <xdr:to>
      <xdr:col>6</xdr:col>
      <xdr:colOff>510089</xdr:colOff>
      <xdr:row>950</xdr:row>
      <xdr:rowOff>61472</xdr:rowOff>
    </xdr:to>
    <xdr:graphicFrame macro="">
      <xdr:nvGraphicFramePr>
        <xdr:cNvPr id="35" name="Diagram 34">
          <a:extLst>
            <a:ext uri="{FF2B5EF4-FFF2-40B4-BE49-F238E27FC236}">
              <a16:creationId xmlns:a16="http://schemas.microsoft.com/office/drawing/2014/main" xmlns=""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602876</xdr:colOff>
      <xdr:row>985</xdr:row>
      <xdr:rowOff>55750</xdr:rowOff>
    </xdr:from>
    <xdr:to>
      <xdr:col>6</xdr:col>
      <xdr:colOff>511208</xdr:colOff>
      <xdr:row>1009</xdr:row>
      <xdr:rowOff>129551</xdr:rowOff>
    </xdr:to>
    <xdr:graphicFrame macro="">
      <xdr:nvGraphicFramePr>
        <xdr:cNvPr id="36" name="Diagram 35">
          <a:extLst>
            <a:ext uri="{FF2B5EF4-FFF2-40B4-BE49-F238E27FC236}">
              <a16:creationId xmlns:a16="http://schemas.microsoft.com/office/drawing/2014/main" xmlns=""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110140</xdr:colOff>
      <xdr:row>2</xdr:row>
      <xdr:rowOff>56030</xdr:rowOff>
    </xdr:from>
    <xdr:to>
      <xdr:col>15</xdr:col>
      <xdr:colOff>461656</xdr:colOff>
      <xdr:row>48</xdr:row>
      <xdr:rowOff>0</xdr:rowOff>
    </xdr:to>
    <xdr:grpSp>
      <xdr:nvGrpSpPr>
        <xdr:cNvPr id="10" name="Gruppe 9">
          <a:extLst>
            <a:ext uri="{FF2B5EF4-FFF2-40B4-BE49-F238E27FC236}">
              <a16:creationId xmlns:a16="http://schemas.microsoft.com/office/drawing/2014/main" xmlns="" id="{74281BFA-F55E-4EA8-AF09-1B81934247EA}"/>
            </a:ext>
          </a:extLst>
        </xdr:cNvPr>
        <xdr:cNvGrpSpPr/>
      </xdr:nvGrpSpPr>
      <xdr:grpSpPr>
        <a:xfrm>
          <a:off x="110140" y="518673"/>
          <a:ext cx="16693695" cy="7455113"/>
          <a:chOff x="110140" y="513230"/>
          <a:chExt cx="16639266" cy="7392520"/>
        </a:xfrm>
      </xdr:grpSpPr>
      <xdr:grpSp>
        <xdr:nvGrpSpPr>
          <xdr:cNvPr id="81" name="Gruppe 80">
            <a:extLst>
              <a:ext uri="{FF2B5EF4-FFF2-40B4-BE49-F238E27FC236}">
                <a16:creationId xmlns:a16="http://schemas.microsoft.com/office/drawing/2014/main" xmlns="" id="{00000000-0008-0000-0A00-000051000000}"/>
              </a:ext>
            </a:extLst>
          </xdr:cNvPr>
          <xdr:cNvGrpSpPr/>
        </xdr:nvGrpSpPr>
        <xdr:grpSpPr>
          <a:xfrm>
            <a:off x="112741" y="513230"/>
            <a:ext cx="3239870" cy="1908865"/>
            <a:chOff x="112742" y="504265"/>
            <a:chExt cx="3240961" cy="1848969"/>
          </a:xfrm>
        </xdr:grpSpPr>
        <xdr:sp macro="" textlink="">
          <xdr:nvSpPr>
            <xdr:cNvPr id="75" name="Rektangel 74">
              <a:extLst>
                <a:ext uri="{FF2B5EF4-FFF2-40B4-BE49-F238E27FC236}">
                  <a16:creationId xmlns:a16="http://schemas.microsoft.com/office/drawing/2014/main" xmlns=""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26"/>
              <a:extLst>
                <a:ext uri="{FF2B5EF4-FFF2-40B4-BE49-F238E27FC236}">
                  <a16:creationId xmlns:a16="http://schemas.microsoft.com/office/drawing/2014/main" xmlns=""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grpSp>
        <xdr:nvGrpSpPr>
          <xdr:cNvPr id="79" name="Gruppe 78">
            <a:extLst>
              <a:ext uri="{FF2B5EF4-FFF2-40B4-BE49-F238E27FC236}">
                <a16:creationId xmlns:a16="http://schemas.microsoft.com/office/drawing/2014/main" xmlns="" id="{00000000-0008-0000-0A00-00004F000000}"/>
              </a:ext>
            </a:extLst>
          </xdr:cNvPr>
          <xdr:cNvGrpSpPr/>
        </xdr:nvGrpSpPr>
        <xdr:grpSpPr>
          <a:xfrm>
            <a:off x="110140" y="2537790"/>
            <a:ext cx="3239870" cy="4442448"/>
            <a:chOff x="110140" y="2465299"/>
            <a:chExt cx="3240961" cy="4303054"/>
          </a:xfrm>
        </xdr:grpSpPr>
        <xdr:sp macro="" textlink="">
          <xdr:nvSpPr>
            <xdr:cNvPr id="70" name="Rektangel 69">
              <a:extLst>
                <a:ext uri="{FF2B5EF4-FFF2-40B4-BE49-F238E27FC236}">
                  <a16:creationId xmlns:a16="http://schemas.microsoft.com/office/drawing/2014/main" xmlns="" id="{00000000-0008-0000-0A00-000046000000}"/>
                </a:ext>
              </a:extLst>
            </xdr:cNvPr>
            <xdr:cNvSpPr/>
          </xdr:nvSpPr>
          <xdr:spPr>
            <a:xfrm>
              <a:off x="110140" y="2465299"/>
              <a:ext cx="3240961" cy="43030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27"/>
              <a:extLst>
                <a:ext uri="{FF2B5EF4-FFF2-40B4-BE49-F238E27FC236}">
                  <a16:creationId xmlns:a16="http://schemas.microsoft.com/office/drawing/2014/main" xmlns="" id="{00000000-0008-0000-0A00-000047000000}"/>
                </a:ext>
              </a:extLst>
            </xdr:cNvPr>
            <xdr:cNvSpPr/>
          </xdr:nvSpPr>
          <xdr:spPr>
            <a:xfrm>
              <a:off x="274910" y="3091468"/>
              <a:ext cx="2886644" cy="75998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CO2-udledning fordelt på brændsler</a:t>
              </a:r>
            </a:p>
          </xdr:txBody>
        </xdr:sp>
        <xdr:sp macro="" textlink="">
          <xdr:nvSpPr>
            <xdr:cNvPr id="72" name="Rektangel 71">
              <a:hlinkClick xmlns:r="http://schemas.openxmlformats.org/officeDocument/2006/relationships" r:id="rId28"/>
              <a:extLst>
                <a:ext uri="{FF2B5EF4-FFF2-40B4-BE49-F238E27FC236}">
                  <a16:creationId xmlns:a16="http://schemas.microsoft.com/office/drawing/2014/main" xmlns="" id="{00000000-0008-0000-0A00-000048000000}"/>
                </a:ext>
              </a:extLst>
            </xdr:cNvPr>
            <xdr:cNvSpPr/>
          </xdr:nvSpPr>
          <xdr:spPr>
            <a:xfrm>
              <a:off x="274910" y="4003466"/>
              <a:ext cx="2886644"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CO2-udledning opdelt på brændsler for basisår</a:t>
              </a:r>
            </a:p>
          </xdr:txBody>
        </xdr:sp>
        <xdr:sp macro="" textlink="">
          <xdr:nvSpPr>
            <xdr:cNvPr id="73" name="Rektangel 72">
              <a:hlinkClick xmlns:r="http://schemas.openxmlformats.org/officeDocument/2006/relationships" r:id="rId29"/>
              <a:extLst>
                <a:ext uri="{FF2B5EF4-FFF2-40B4-BE49-F238E27FC236}">
                  <a16:creationId xmlns:a16="http://schemas.microsoft.com/office/drawing/2014/main" xmlns="" id="{00000000-0008-0000-0A00-000049000000}"/>
                </a:ext>
              </a:extLst>
            </xdr:cNvPr>
            <xdr:cNvSpPr/>
          </xdr:nvSpPr>
          <xdr:spPr>
            <a:xfrm>
              <a:off x="286116" y="4889524"/>
              <a:ext cx="2886644"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CO2-udledning fordelt på omsætningsenheder</a:t>
              </a:r>
            </a:p>
          </xdr:txBody>
        </xdr:sp>
        <xdr:sp macro="" textlink="">
          <xdr:nvSpPr>
            <xdr:cNvPr id="74" name="Rektangel 73">
              <a:hlinkClick xmlns:r="http://schemas.openxmlformats.org/officeDocument/2006/relationships" r:id="rId30"/>
              <a:extLst>
                <a:ext uri="{FF2B5EF4-FFF2-40B4-BE49-F238E27FC236}">
                  <a16:creationId xmlns:a16="http://schemas.microsoft.com/office/drawing/2014/main" xmlns="" id="{00000000-0008-0000-0A00-00004A000000}"/>
                </a:ext>
              </a:extLst>
            </xdr:cNvPr>
            <xdr:cNvSpPr/>
          </xdr:nvSpPr>
          <xdr:spPr>
            <a:xfrm>
              <a:off x="287797" y="5774230"/>
              <a:ext cx="2886644"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CO2-udledning fordelt på omsætningsenheder for basisår</a:t>
              </a:r>
            </a:p>
          </xdr:txBody>
        </xdr:sp>
      </xdr:grpSp>
      <xdr:grpSp>
        <xdr:nvGrpSpPr>
          <xdr:cNvPr id="85" name="Gruppe 84">
            <a:extLst>
              <a:ext uri="{FF2B5EF4-FFF2-40B4-BE49-F238E27FC236}">
                <a16:creationId xmlns:a16="http://schemas.microsoft.com/office/drawing/2014/main" xmlns="" id="{00000000-0008-0000-0A00-000055000000}"/>
              </a:ext>
            </a:extLst>
          </xdr:cNvPr>
          <xdr:cNvGrpSpPr/>
        </xdr:nvGrpSpPr>
        <xdr:grpSpPr>
          <a:xfrm>
            <a:off x="13508815" y="528930"/>
            <a:ext cx="3240591" cy="4565580"/>
            <a:chOff x="13513327" y="519472"/>
            <a:chExt cx="3241682" cy="4422322"/>
          </a:xfrm>
        </xdr:grpSpPr>
        <xdr:sp macro="" textlink="">
          <xdr:nvSpPr>
            <xdr:cNvPr id="65" name="Rektangel 64">
              <a:extLst>
                <a:ext uri="{FF2B5EF4-FFF2-40B4-BE49-F238E27FC236}">
                  <a16:creationId xmlns:a16="http://schemas.microsoft.com/office/drawing/2014/main" xmlns="" id="{00000000-0008-0000-0A00-000041000000}"/>
                </a:ext>
              </a:extLst>
            </xdr:cNvPr>
            <xdr:cNvSpPr/>
          </xdr:nvSpPr>
          <xdr:spPr>
            <a:xfrm>
              <a:off x="13513327" y="519472"/>
              <a:ext cx="3241682" cy="442232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31"/>
              <a:extLst>
                <a:ext uri="{FF2B5EF4-FFF2-40B4-BE49-F238E27FC236}">
                  <a16:creationId xmlns:a16="http://schemas.microsoft.com/office/drawing/2014/main" xmlns="" id="{00000000-0008-0000-0A00-000042000000}"/>
                </a:ext>
              </a:extLst>
            </xdr:cNvPr>
            <xdr:cNvSpPr/>
          </xdr:nvSpPr>
          <xdr:spPr>
            <a:xfrm>
              <a:off x="13689896" y="3939508"/>
              <a:ext cx="2885043" cy="766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a:t>
              </a:r>
            </a:p>
            <a:p>
              <a:pPr algn="ctr"/>
              <a:r>
                <a:rPr lang="da-DK" sz="1400" b="1"/>
                <a:t> (produktion fordelt på brændsel)</a:t>
              </a:r>
            </a:p>
          </xdr:txBody>
        </xdr:sp>
        <xdr:sp macro="" textlink="">
          <xdr:nvSpPr>
            <xdr:cNvPr id="67" name="Rektangel 66">
              <a:hlinkClick xmlns:r="http://schemas.openxmlformats.org/officeDocument/2006/relationships" r:id="rId32"/>
              <a:extLst>
                <a:ext uri="{FF2B5EF4-FFF2-40B4-BE49-F238E27FC236}">
                  <a16:creationId xmlns:a16="http://schemas.microsoft.com/office/drawing/2014/main" xmlns="" id="{00000000-0008-0000-0A00-000043000000}"/>
                </a:ext>
              </a:extLst>
            </xdr:cNvPr>
            <xdr:cNvSpPr/>
          </xdr:nvSpPr>
          <xdr:spPr>
            <a:xfrm>
              <a:off x="13685172" y="1247455"/>
              <a:ext cx="2885043"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a:t>
              </a:r>
            </a:p>
            <a:p>
              <a:pPr algn="ctr"/>
              <a:r>
                <a:rPr lang="da-DK" sz="1400" b="1"/>
                <a:t>(produktion fordelt på anlægstype)</a:t>
              </a:r>
            </a:p>
          </xdr:txBody>
        </xdr:sp>
        <xdr:sp macro="" textlink="">
          <xdr:nvSpPr>
            <xdr:cNvPr id="68" name="Rektangel 67">
              <a:hlinkClick xmlns:r="http://schemas.openxmlformats.org/officeDocument/2006/relationships" r:id="rId33"/>
              <a:extLst>
                <a:ext uri="{FF2B5EF4-FFF2-40B4-BE49-F238E27FC236}">
                  <a16:creationId xmlns:a16="http://schemas.microsoft.com/office/drawing/2014/main" xmlns="" id="{00000000-0008-0000-0A00-000044000000}"/>
                </a:ext>
              </a:extLst>
            </xdr:cNvPr>
            <xdr:cNvSpPr/>
          </xdr:nvSpPr>
          <xdr:spPr>
            <a:xfrm>
              <a:off x="13686855" y="2154331"/>
              <a:ext cx="2885043"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a:t>
              </a:r>
            </a:p>
            <a:p>
              <a:pPr algn="ctr"/>
              <a:r>
                <a:rPr lang="da-DK" sz="1400" b="1"/>
                <a:t>(produktion fordelt på brændsel)</a:t>
              </a:r>
            </a:p>
          </xdr:txBody>
        </xdr:sp>
        <xdr:sp macro="" textlink="">
          <xdr:nvSpPr>
            <xdr:cNvPr id="69" name="Rektangel 68">
              <a:hlinkClick xmlns:r="http://schemas.openxmlformats.org/officeDocument/2006/relationships" r:id="rId34"/>
              <a:extLst>
                <a:ext uri="{FF2B5EF4-FFF2-40B4-BE49-F238E27FC236}">
                  <a16:creationId xmlns:a16="http://schemas.microsoft.com/office/drawing/2014/main" xmlns="" id="{00000000-0008-0000-0A00-000045000000}"/>
                </a:ext>
              </a:extLst>
            </xdr:cNvPr>
            <xdr:cNvSpPr/>
          </xdr:nvSpPr>
          <xdr:spPr>
            <a:xfrm>
              <a:off x="13694379" y="3047521"/>
              <a:ext cx="2885043"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a:t>
              </a:r>
            </a:p>
            <a:p>
              <a:pPr algn="ctr"/>
              <a:r>
                <a:rPr lang="da-DK" sz="1400" b="1" baseline="0"/>
                <a:t> </a:t>
              </a:r>
              <a:r>
                <a:rPr lang="da-DK" sz="1400" b="1"/>
                <a:t>(produktion fordelt på anlægstype)</a:t>
              </a:r>
            </a:p>
          </xdr:txBody>
        </xdr:sp>
      </xdr:grpSp>
      <xdr:grpSp>
        <xdr:nvGrpSpPr>
          <xdr:cNvPr id="83" name="Gruppe 82">
            <a:extLst>
              <a:ext uri="{FF2B5EF4-FFF2-40B4-BE49-F238E27FC236}">
                <a16:creationId xmlns:a16="http://schemas.microsoft.com/office/drawing/2014/main" xmlns="" id="{00000000-0008-0000-0A00-000053000000}"/>
              </a:ext>
            </a:extLst>
          </xdr:cNvPr>
          <xdr:cNvGrpSpPr/>
        </xdr:nvGrpSpPr>
        <xdr:grpSpPr>
          <a:xfrm>
            <a:off x="3473334" y="529341"/>
            <a:ext cx="6479499" cy="7376409"/>
            <a:chOff x="3474467" y="519870"/>
            <a:chExt cx="6481681" cy="7144954"/>
          </a:xfrm>
        </xdr:grpSpPr>
        <xdr:sp macro="" textlink="">
          <xdr:nvSpPr>
            <xdr:cNvPr id="51" name="Rektangel 50">
              <a:extLst>
                <a:ext uri="{FF2B5EF4-FFF2-40B4-BE49-F238E27FC236}">
                  <a16:creationId xmlns:a16="http://schemas.microsoft.com/office/drawing/2014/main" xmlns="" id="{00000000-0008-0000-0A00-000033000000}"/>
                </a:ext>
              </a:extLst>
            </xdr:cNvPr>
            <xdr:cNvSpPr/>
          </xdr:nvSpPr>
          <xdr:spPr>
            <a:xfrm>
              <a:off x="3474467" y="519870"/>
              <a:ext cx="6481681"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35"/>
              <a:extLst>
                <a:ext uri="{FF2B5EF4-FFF2-40B4-BE49-F238E27FC236}">
                  <a16:creationId xmlns:a16="http://schemas.microsoft.com/office/drawing/2014/main" xmlns="" id="{00000000-0008-0000-0A00-000034000000}"/>
                </a:ext>
              </a:extLst>
            </xdr:cNvPr>
            <xdr:cNvSpPr/>
          </xdr:nvSpPr>
          <xdr:spPr>
            <a:xfrm>
              <a:off x="3685578" y="1318079"/>
              <a:ext cx="2885042"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36"/>
              <a:extLst>
                <a:ext uri="{FF2B5EF4-FFF2-40B4-BE49-F238E27FC236}">
                  <a16:creationId xmlns:a16="http://schemas.microsoft.com/office/drawing/2014/main" xmlns="" id="{00000000-0008-0000-0A00-000035000000}"/>
                </a:ext>
              </a:extLst>
            </xdr:cNvPr>
            <xdr:cNvSpPr/>
          </xdr:nvSpPr>
          <xdr:spPr>
            <a:xfrm>
              <a:off x="3687380" y="2204121"/>
              <a:ext cx="2885042"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37"/>
              <a:extLst>
                <a:ext uri="{FF2B5EF4-FFF2-40B4-BE49-F238E27FC236}">
                  <a16:creationId xmlns:a16="http://schemas.microsoft.com/office/drawing/2014/main" xmlns="" id="{00000000-0008-0000-0A00-000036000000}"/>
                </a:ext>
              </a:extLst>
            </xdr:cNvPr>
            <xdr:cNvSpPr/>
          </xdr:nvSpPr>
          <xdr:spPr>
            <a:xfrm>
              <a:off x="3698586" y="3092188"/>
              <a:ext cx="2885042"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38"/>
              <a:extLst>
                <a:ext uri="{FF2B5EF4-FFF2-40B4-BE49-F238E27FC236}">
                  <a16:creationId xmlns:a16="http://schemas.microsoft.com/office/drawing/2014/main" xmlns="" id="{00000000-0008-0000-0A00-000037000000}"/>
                </a:ext>
              </a:extLst>
            </xdr:cNvPr>
            <xdr:cNvSpPr/>
          </xdr:nvSpPr>
          <xdr:spPr>
            <a:xfrm>
              <a:off x="3687380" y="3989779"/>
              <a:ext cx="2885042"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39"/>
              <a:extLst>
                <a:ext uri="{FF2B5EF4-FFF2-40B4-BE49-F238E27FC236}">
                  <a16:creationId xmlns:a16="http://schemas.microsoft.com/office/drawing/2014/main" xmlns="" id="{00000000-0008-0000-0A00-000038000000}"/>
                </a:ext>
              </a:extLst>
            </xdr:cNvPr>
            <xdr:cNvSpPr/>
          </xdr:nvSpPr>
          <xdr:spPr>
            <a:xfrm>
              <a:off x="3685699" y="4869441"/>
              <a:ext cx="2885042"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0"/>
              <a:extLst>
                <a:ext uri="{FF2B5EF4-FFF2-40B4-BE49-F238E27FC236}">
                  <a16:creationId xmlns:a16="http://schemas.microsoft.com/office/drawing/2014/main" xmlns="" id="{00000000-0008-0000-0A00-000039000000}"/>
                </a:ext>
              </a:extLst>
            </xdr:cNvPr>
            <xdr:cNvSpPr/>
          </xdr:nvSpPr>
          <xdr:spPr>
            <a:xfrm>
              <a:off x="3687380" y="5765352"/>
              <a:ext cx="2885042"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58" name="Rektangel 57">
              <a:hlinkClick xmlns:r="http://schemas.openxmlformats.org/officeDocument/2006/relationships" r:id="rId41"/>
              <a:extLst>
                <a:ext uri="{FF2B5EF4-FFF2-40B4-BE49-F238E27FC236}">
                  <a16:creationId xmlns:a16="http://schemas.microsoft.com/office/drawing/2014/main" xmlns="" id="{00000000-0008-0000-0A00-00003A000000}"/>
                </a:ext>
              </a:extLst>
            </xdr:cNvPr>
            <xdr:cNvSpPr/>
          </xdr:nvSpPr>
          <xdr:spPr>
            <a:xfrm>
              <a:off x="6839791" y="4870346"/>
              <a:ext cx="288264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42"/>
              <a:extLst>
                <a:ext uri="{FF2B5EF4-FFF2-40B4-BE49-F238E27FC236}">
                  <a16:creationId xmlns:a16="http://schemas.microsoft.com/office/drawing/2014/main" xmlns="" id="{00000000-0008-0000-0A00-00003B000000}"/>
                </a:ext>
              </a:extLst>
            </xdr:cNvPr>
            <xdr:cNvSpPr/>
          </xdr:nvSpPr>
          <xdr:spPr>
            <a:xfrm>
              <a:off x="6848161" y="5755267"/>
              <a:ext cx="288264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43"/>
              <a:extLst>
                <a:ext uri="{FF2B5EF4-FFF2-40B4-BE49-F238E27FC236}">
                  <a16:creationId xmlns:a16="http://schemas.microsoft.com/office/drawing/2014/main" xmlns="" id="{00000000-0008-0000-0A00-00003C000000}"/>
                </a:ext>
              </a:extLst>
            </xdr:cNvPr>
            <xdr:cNvSpPr/>
          </xdr:nvSpPr>
          <xdr:spPr>
            <a:xfrm>
              <a:off x="6844800" y="6647815"/>
              <a:ext cx="288264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a:t>
              </a:r>
            </a:p>
          </xdr:txBody>
        </xdr:sp>
        <xdr:sp macro="" textlink="">
          <xdr:nvSpPr>
            <xdr:cNvPr id="61" name="Rektangel 60">
              <a:hlinkClick xmlns:r="http://schemas.openxmlformats.org/officeDocument/2006/relationships" r:id="rId44"/>
              <a:extLst>
                <a:ext uri="{FF2B5EF4-FFF2-40B4-BE49-F238E27FC236}">
                  <a16:creationId xmlns:a16="http://schemas.microsoft.com/office/drawing/2014/main" xmlns="" id="{00000000-0008-0000-0A00-00003D000000}"/>
                </a:ext>
              </a:extLst>
            </xdr:cNvPr>
            <xdr:cNvSpPr/>
          </xdr:nvSpPr>
          <xdr:spPr>
            <a:xfrm>
              <a:off x="6823228" y="1307433"/>
              <a:ext cx="2882640"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5"/>
              <a:extLst>
                <a:ext uri="{FF2B5EF4-FFF2-40B4-BE49-F238E27FC236}">
                  <a16:creationId xmlns:a16="http://schemas.microsoft.com/office/drawing/2014/main" xmlns="" id="{00000000-0008-0000-0A00-00003E000000}"/>
                </a:ext>
              </a:extLst>
            </xdr:cNvPr>
            <xdr:cNvSpPr/>
          </xdr:nvSpPr>
          <xdr:spPr>
            <a:xfrm>
              <a:off x="6819266" y="2195715"/>
              <a:ext cx="2882640"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6"/>
              <a:extLst>
                <a:ext uri="{FF2B5EF4-FFF2-40B4-BE49-F238E27FC236}">
                  <a16:creationId xmlns:a16="http://schemas.microsoft.com/office/drawing/2014/main" xmlns="" id="{00000000-0008-0000-0A00-00003F000000}"/>
                </a:ext>
              </a:extLst>
            </xdr:cNvPr>
            <xdr:cNvSpPr/>
          </xdr:nvSpPr>
          <xdr:spPr>
            <a:xfrm>
              <a:off x="6829512" y="3087143"/>
              <a:ext cx="288264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omsætningsenheder for  VE og fossil</a:t>
              </a:r>
            </a:p>
          </xdr:txBody>
        </xdr:sp>
        <xdr:sp macro="" textlink="">
          <xdr:nvSpPr>
            <xdr:cNvPr id="64" name="Rektangel 63">
              <a:hlinkClick xmlns:r="http://schemas.openxmlformats.org/officeDocument/2006/relationships" r:id="rId47"/>
              <a:extLst>
                <a:ext uri="{FF2B5EF4-FFF2-40B4-BE49-F238E27FC236}">
                  <a16:creationId xmlns:a16="http://schemas.microsoft.com/office/drawing/2014/main" xmlns="" id="{00000000-0008-0000-0A00-000040000000}"/>
                </a:ext>
              </a:extLst>
            </xdr:cNvPr>
            <xdr:cNvSpPr/>
          </xdr:nvSpPr>
          <xdr:spPr>
            <a:xfrm>
              <a:off x="6832753" y="3981159"/>
              <a:ext cx="288264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grpSp>
      <xdr:grpSp>
        <xdr:nvGrpSpPr>
          <xdr:cNvPr id="89" name="Gruppe 88">
            <a:extLst>
              <a:ext uri="{FF2B5EF4-FFF2-40B4-BE49-F238E27FC236}">
                <a16:creationId xmlns:a16="http://schemas.microsoft.com/office/drawing/2014/main" xmlns="" id="{00000000-0008-0000-0A00-000059000000}"/>
              </a:ext>
            </a:extLst>
          </xdr:cNvPr>
          <xdr:cNvGrpSpPr/>
        </xdr:nvGrpSpPr>
        <xdr:grpSpPr>
          <a:xfrm>
            <a:off x="10098348" y="524797"/>
            <a:ext cx="3247310" cy="7380953"/>
            <a:chOff x="10101711" y="515469"/>
            <a:chExt cx="3248403" cy="7149355"/>
          </a:xfrm>
        </xdr:grpSpPr>
        <xdr:sp macro="" textlink="">
          <xdr:nvSpPr>
            <xdr:cNvPr id="43" name="Rektangel 42">
              <a:extLst>
                <a:ext uri="{FF2B5EF4-FFF2-40B4-BE49-F238E27FC236}">
                  <a16:creationId xmlns:a16="http://schemas.microsoft.com/office/drawing/2014/main" xmlns="" id="{00000000-0008-0000-0A00-00002B000000}"/>
                </a:ext>
              </a:extLst>
            </xdr:cNvPr>
            <xdr:cNvSpPr/>
          </xdr:nvSpPr>
          <xdr:spPr>
            <a:xfrm>
              <a:off x="10101711" y="515469"/>
              <a:ext cx="3248403" cy="714935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2000" b="1">
                  <a:solidFill>
                    <a:sysClr val="windowText" lastClr="000000"/>
                  </a:solidFill>
                </a:rPr>
                <a:t>Udvidede</a:t>
              </a:r>
              <a:r>
                <a:rPr lang="da-DK" sz="2000" b="1" baseline="0">
                  <a:solidFill>
                    <a:sysClr val="windowText" lastClr="000000"/>
                  </a:solidFill>
                </a:rPr>
                <a:t> endelige energiforbrug &amp; slutforbrug</a:t>
              </a:r>
              <a:endParaRPr lang="da-DK" sz="2000" b="1">
                <a:solidFill>
                  <a:sysClr val="windowText" lastClr="000000"/>
                </a:solidFill>
              </a:endParaRPr>
            </a:p>
          </xdr:txBody>
        </xdr:sp>
        <xdr:sp macro="" textlink="">
          <xdr:nvSpPr>
            <xdr:cNvPr id="44" name="Rektangel 43">
              <a:hlinkClick xmlns:r="http://schemas.openxmlformats.org/officeDocument/2006/relationships" r:id="rId48"/>
              <a:extLst>
                <a:ext uri="{FF2B5EF4-FFF2-40B4-BE49-F238E27FC236}">
                  <a16:creationId xmlns:a16="http://schemas.microsoft.com/office/drawing/2014/main" xmlns="" id="{00000000-0008-0000-0A00-00002C000000}"/>
                </a:ext>
              </a:extLst>
            </xdr:cNvPr>
            <xdr:cNvSpPr/>
          </xdr:nvSpPr>
          <xdr:spPr>
            <a:xfrm>
              <a:off x="10294522" y="1280787"/>
              <a:ext cx="2881199"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Udvidede endelige energiforbrug fordelt på kategorier</a:t>
              </a:r>
            </a:p>
          </xdr:txBody>
        </xdr:sp>
        <xdr:sp macro="" textlink="">
          <xdr:nvSpPr>
            <xdr:cNvPr id="45" name="Rektangel 44">
              <a:hlinkClick xmlns:r="http://schemas.openxmlformats.org/officeDocument/2006/relationships" r:id="rId49"/>
              <a:extLst>
                <a:ext uri="{FF2B5EF4-FFF2-40B4-BE49-F238E27FC236}">
                  <a16:creationId xmlns:a16="http://schemas.microsoft.com/office/drawing/2014/main" xmlns="" id="{00000000-0008-0000-0A00-00002D000000}"/>
                </a:ext>
              </a:extLst>
            </xdr:cNvPr>
            <xdr:cNvSpPr/>
          </xdr:nvSpPr>
          <xdr:spPr>
            <a:xfrm>
              <a:off x="10303577" y="3958660"/>
              <a:ext cx="2893445"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Slutforbrug fordelt på kategorier</a:t>
              </a:r>
            </a:p>
          </xdr:txBody>
        </xdr:sp>
        <xdr:sp macro="" textlink="">
          <xdr:nvSpPr>
            <xdr:cNvPr id="46" name="Rektangel 45">
              <a:hlinkClick xmlns:r="http://schemas.openxmlformats.org/officeDocument/2006/relationships" r:id="rId50"/>
              <a:extLst>
                <a:ext uri="{FF2B5EF4-FFF2-40B4-BE49-F238E27FC236}">
                  <a16:creationId xmlns:a16="http://schemas.microsoft.com/office/drawing/2014/main" xmlns="" id="{00000000-0008-0000-0A00-00002E000000}"/>
                </a:ext>
              </a:extLst>
            </xdr:cNvPr>
            <xdr:cNvSpPr/>
          </xdr:nvSpPr>
          <xdr:spPr>
            <a:xfrm>
              <a:off x="10299886" y="2154490"/>
              <a:ext cx="288120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Udvidede endelige energiforbrug fordelt på kategorier</a:t>
              </a:r>
            </a:p>
          </xdr:txBody>
        </xdr:sp>
        <xdr:sp macro="" textlink="">
          <xdr:nvSpPr>
            <xdr:cNvPr id="47" name="Rektangel 46">
              <a:hlinkClick xmlns:r="http://schemas.openxmlformats.org/officeDocument/2006/relationships" r:id="rId51"/>
              <a:extLst>
                <a:ext uri="{FF2B5EF4-FFF2-40B4-BE49-F238E27FC236}">
                  <a16:creationId xmlns:a16="http://schemas.microsoft.com/office/drawing/2014/main" xmlns="" id="{00000000-0008-0000-0A00-00002F000000}"/>
                </a:ext>
              </a:extLst>
            </xdr:cNvPr>
            <xdr:cNvSpPr/>
          </xdr:nvSpPr>
          <xdr:spPr>
            <a:xfrm>
              <a:off x="10313494" y="3037274"/>
              <a:ext cx="288120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Udvidede endelige energiforbrug fordelt på brændsler</a:t>
              </a:r>
            </a:p>
          </xdr:txBody>
        </xdr:sp>
        <xdr:sp macro="" textlink="">
          <xdr:nvSpPr>
            <xdr:cNvPr id="48" name="Rektangel 47">
              <a:hlinkClick xmlns:r="http://schemas.openxmlformats.org/officeDocument/2006/relationships" r:id="rId52"/>
              <a:extLst>
                <a:ext uri="{FF2B5EF4-FFF2-40B4-BE49-F238E27FC236}">
                  <a16:creationId xmlns:a16="http://schemas.microsoft.com/office/drawing/2014/main" xmlns="" id="{00000000-0008-0000-0A00-000030000000}"/>
                </a:ext>
              </a:extLst>
            </xdr:cNvPr>
            <xdr:cNvSpPr/>
          </xdr:nvSpPr>
          <xdr:spPr>
            <a:xfrm>
              <a:off x="10309411" y="4863078"/>
              <a:ext cx="2881200" cy="75998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Slutforbrug af varme fordelt på anlægstype</a:t>
              </a:r>
            </a:p>
          </xdr:txBody>
        </xdr:sp>
        <xdr:sp macro="" textlink="">
          <xdr:nvSpPr>
            <xdr:cNvPr id="49" name="Rektangel 48">
              <a:hlinkClick xmlns:r="http://schemas.openxmlformats.org/officeDocument/2006/relationships" r:id="rId53"/>
              <a:extLst>
                <a:ext uri="{FF2B5EF4-FFF2-40B4-BE49-F238E27FC236}">
                  <a16:creationId xmlns:a16="http://schemas.microsoft.com/office/drawing/2014/main" xmlns="" id="{00000000-0008-0000-0A00-000031000000}"/>
                </a:ext>
              </a:extLst>
            </xdr:cNvPr>
            <xdr:cNvSpPr/>
          </xdr:nvSpPr>
          <xdr:spPr>
            <a:xfrm>
              <a:off x="10298526" y="5757045"/>
              <a:ext cx="2881200"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Slutforbrug af varme opdelt på anlægstype for basisår</a:t>
              </a:r>
            </a:p>
          </xdr:txBody>
        </xdr:sp>
        <xdr:sp macro="" textlink="">
          <xdr:nvSpPr>
            <xdr:cNvPr id="50" name="Rektangel 49">
              <a:hlinkClick xmlns:r="http://schemas.openxmlformats.org/officeDocument/2006/relationships" r:id="rId54"/>
              <a:extLst>
                <a:ext uri="{FF2B5EF4-FFF2-40B4-BE49-F238E27FC236}">
                  <a16:creationId xmlns:a16="http://schemas.microsoft.com/office/drawing/2014/main" xmlns="" id="{00000000-0008-0000-0A00-000032000000}"/>
                </a:ext>
              </a:extLst>
            </xdr:cNvPr>
            <xdr:cNvSpPr/>
          </xdr:nvSpPr>
          <xdr:spPr>
            <a:xfrm>
              <a:off x="10287640" y="6653037"/>
              <a:ext cx="2881200" cy="75998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Slutforbrug</a:t>
              </a:r>
              <a:r>
                <a:rPr lang="da-DK" sz="1400" b="1" baseline="0"/>
                <a:t> </a:t>
              </a:r>
              <a:r>
                <a:rPr lang="da-DK" sz="1400" b="1"/>
                <a:t>af varme fordelt på anlægstype</a:t>
              </a:r>
            </a:p>
          </xdr:txBody>
        </xdr:sp>
      </xdr:grpSp>
    </xdr:grpSp>
    <xdr:clientData/>
  </xdr:twoCellAnchor>
  <xdr:twoCellAnchor>
    <xdr:from>
      <xdr:col>7</xdr:col>
      <xdr:colOff>22411</xdr:colOff>
      <xdr:row>63</xdr:row>
      <xdr:rowOff>26894</xdr:rowOff>
    </xdr:from>
    <xdr:to>
      <xdr:col>14</xdr:col>
      <xdr:colOff>36980</xdr:colOff>
      <xdr:row>86</xdr:row>
      <xdr:rowOff>151115</xdr:rowOff>
    </xdr:to>
    <xdr:graphicFrame macro="">
      <xdr:nvGraphicFramePr>
        <xdr:cNvPr id="77" name="Diagram 15">
          <a:extLst>
            <a:ext uri="{FF2B5EF4-FFF2-40B4-BE49-F238E27FC236}">
              <a16:creationId xmlns:a16="http://schemas.microsoft.com/office/drawing/2014/main" xmlns=""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xmlns=""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twoCellAnchor editAs="absolute">
    <xdr:from>
      <xdr:col>0</xdr:col>
      <xdr:colOff>85725</xdr:colOff>
      <xdr:row>1107</xdr:row>
      <xdr:rowOff>64848</xdr:rowOff>
    </xdr:from>
    <xdr:to>
      <xdr:col>0</xdr:col>
      <xdr:colOff>355168</xdr:colOff>
      <xdr:row>1109</xdr:row>
      <xdr:rowOff>31277</xdr:rowOff>
    </xdr:to>
    <xdr:sp macro="" textlink="">
      <xdr:nvSpPr>
        <xdr:cNvPr id="80" name="Rektangel 79">
          <a:hlinkClick xmlns:r="http://schemas.openxmlformats.org/officeDocument/2006/relationships" r:id="rId56"/>
          <a:extLst>
            <a:ext uri="{FF2B5EF4-FFF2-40B4-BE49-F238E27FC236}">
              <a16:creationId xmlns:a16="http://schemas.microsoft.com/office/drawing/2014/main" xmlns="" id="{00000000-0008-0000-0A00-000050000000}"/>
            </a:ext>
          </a:extLst>
        </xdr:cNvPr>
        <xdr:cNvSpPr/>
      </xdr:nvSpPr>
      <xdr:spPr>
        <a:xfrm>
          <a:off x="85725" y="181241234"/>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85725</xdr:colOff>
      <xdr:row>1008</xdr:row>
      <xdr:rowOff>64848</xdr:rowOff>
    </xdr:from>
    <xdr:to>
      <xdr:col>0</xdr:col>
      <xdr:colOff>355168</xdr:colOff>
      <xdr:row>1010</xdr:row>
      <xdr:rowOff>31277</xdr:rowOff>
    </xdr:to>
    <xdr:sp macro="" textlink="">
      <xdr:nvSpPr>
        <xdr:cNvPr id="82" name="Rektangel 81">
          <a:hlinkClick xmlns:r="http://schemas.openxmlformats.org/officeDocument/2006/relationships" r:id="rId56"/>
          <a:extLst>
            <a:ext uri="{FF2B5EF4-FFF2-40B4-BE49-F238E27FC236}">
              <a16:creationId xmlns:a16="http://schemas.microsoft.com/office/drawing/2014/main" xmlns="" id="{00000000-0008-0000-0A00-000052000000}"/>
            </a:ext>
          </a:extLst>
        </xdr:cNvPr>
        <xdr:cNvSpPr/>
      </xdr:nvSpPr>
      <xdr:spPr>
        <a:xfrm>
          <a:off x="85725" y="164943959"/>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85725</xdr:colOff>
      <xdr:row>842</xdr:row>
      <xdr:rowOff>64848</xdr:rowOff>
    </xdr:from>
    <xdr:to>
      <xdr:col>0</xdr:col>
      <xdr:colOff>355168</xdr:colOff>
      <xdr:row>844</xdr:row>
      <xdr:rowOff>31276</xdr:rowOff>
    </xdr:to>
    <xdr:sp macro="" textlink="">
      <xdr:nvSpPr>
        <xdr:cNvPr id="84" name="Rektangel 83">
          <a:hlinkClick xmlns:r="http://schemas.openxmlformats.org/officeDocument/2006/relationships" r:id="rId56"/>
          <a:extLst>
            <a:ext uri="{FF2B5EF4-FFF2-40B4-BE49-F238E27FC236}">
              <a16:creationId xmlns:a16="http://schemas.microsoft.com/office/drawing/2014/main" xmlns="" id="{00000000-0008-0000-0A00-000054000000}"/>
            </a:ext>
          </a:extLst>
        </xdr:cNvPr>
        <xdr:cNvSpPr/>
      </xdr:nvSpPr>
      <xdr:spPr>
        <a:xfrm>
          <a:off x="85725" y="137797709"/>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85725</xdr:colOff>
      <xdr:row>707</xdr:row>
      <xdr:rowOff>64848</xdr:rowOff>
    </xdr:from>
    <xdr:to>
      <xdr:col>0</xdr:col>
      <xdr:colOff>355168</xdr:colOff>
      <xdr:row>709</xdr:row>
      <xdr:rowOff>31277</xdr:rowOff>
    </xdr:to>
    <xdr:sp macro="" textlink="">
      <xdr:nvSpPr>
        <xdr:cNvPr id="86" name="Rektangel 85">
          <a:hlinkClick xmlns:r="http://schemas.openxmlformats.org/officeDocument/2006/relationships" r:id="rId56"/>
          <a:extLst>
            <a:ext uri="{FF2B5EF4-FFF2-40B4-BE49-F238E27FC236}">
              <a16:creationId xmlns:a16="http://schemas.microsoft.com/office/drawing/2014/main" xmlns="" id="{00000000-0008-0000-0A00-000056000000}"/>
            </a:ext>
          </a:extLst>
        </xdr:cNvPr>
        <xdr:cNvSpPr/>
      </xdr:nvSpPr>
      <xdr:spPr>
        <a:xfrm>
          <a:off x="85725" y="115671134"/>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85725</xdr:colOff>
      <xdr:row>547</xdr:row>
      <xdr:rowOff>56684</xdr:rowOff>
    </xdr:from>
    <xdr:to>
      <xdr:col>0</xdr:col>
      <xdr:colOff>355168</xdr:colOff>
      <xdr:row>549</xdr:row>
      <xdr:rowOff>15175</xdr:rowOff>
    </xdr:to>
    <xdr:sp macro="" textlink="">
      <xdr:nvSpPr>
        <xdr:cNvPr id="88" name="Rektangel 87">
          <a:hlinkClick xmlns:r="http://schemas.openxmlformats.org/officeDocument/2006/relationships" r:id="rId56"/>
          <a:extLst>
            <a:ext uri="{FF2B5EF4-FFF2-40B4-BE49-F238E27FC236}">
              <a16:creationId xmlns:a16="http://schemas.microsoft.com/office/drawing/2014/main" xmlns="" id="{00000000-0008-0000-0A00-000058000000}"/>
            </a:ext>
          </a:extLst>
        </xdr:cNvPr>
        <xdr:cNvSpPr/>
      </xdr:nvSpPr>
      <xdr:spPr>
        <a:xfrm>
          <a:off x="85725" y="89382134"/>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115662</xdr:colOff>
      <xdr:row>50</xdr:row>
      <xdr:rowOff>64662</xdr:rowOff>
    </xdr:from>
    <xdr:to>
      <xdr:col>0</xdr:col>
      <xdr:colOff>385105</xdr:colOff>
      <xdr:row>50</xdr:row>
      <xdr:rowOff>356528</xdr:rowOff>
    </xdr:to>
    <xdr:sp macro="" textlink="">
      <xdr:nvSpPr>
        <xdr:cNvPr id="87" name="Rektangel 86">
          <a:hlinkClick xmlns:r="http://schemas.openxmlformats.org/officeDocument/2006/relationships" r:id="rId56"/>
          <a:extLst>
            <a:ext uri="{FF2B5EF4-FFF2-40B4-BE49-F238E27FC236}">
              <a16:creationId xmlns:a16="http://schemas.microsoft.com/office/drawing/2014/main" xmlns=""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editAs="absolute">
    <xdr:from>
      <xdr:col>0</xdr:col>
      <xdr:colOff>115662</xdr:colOff>
      <xdr:row>89</xdr:row>
      <xdr:rowOff>64662</xdr:rowOff>
    </xdr:from>
    <xdr:to>
      <xdr:col>0</xdr:col>
      <xdr:colOff>385105</xdr:colOff>
      <xdr:row>89</xdr:row>
      <xdr:rowOff>356528</xdr:rowOff>
    </xdr:to>
    <xdr:sp macro="" textlink="">
      <xdr:nvSpPr>
        <xdr:cNvPr id="90" name="Rektangel 89">
          <a:hlinkClick xmlns:r="http://schemas.openxmlformats.org/officeDocument/2006/relationships" r:id="rId56"/>
          <a:extLst>
            <a:ext uri="{FF2B5EF4-FFF2-40B4-BE49-F238E27FC236}">
              <a16:creationId xmlns:a16="http://schemas.microsoft.com/office/drawing/2014/main" xmlns=""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twoCellAnchor>
  <xdr:twoCellAnchor>
    <xdr:from>
      <xdr:col>0</xdr:col>
      <xdr:colOff>601195</xdr:colOff>
      <xdr:row>1032</xdr:row>
      <xdr:rowOff>28573</xdr:rowOff>
    </xdr:from>
    <xdr:to>
      <xdr:col>6</xdr:col>
      <xdr:colOff>506166</xdr:colOff>
      <xdr:row>1057</xdr:row>
      <xdr:rowOff>66515</xdr:rowOff>
    </xdr:to>
    <xdr:graphicFrame macro="">
      <xdr:nvGraphicFramePr>
        <xdr:cNvPr id="93" name="Diagram 21">
          <a:extLst>
            <a:ext uri="{FF2B5EF4-FFF2-40B4-BE49-F238E27FC236}">
              <a16:creationId xmlns:a16="http://schemas.microsoft.com/office/drawing/2014/main" xmlns=""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16808</xdr:colOff>
      <xdr:row>1083</xdr:row>
      <xdr:rowOff>33057</xdr:rowOff>
    </xdr:from>
    <xdr:to>
      <xdr:col>6</xdr:col>
      <xdr:colOff>526897</xdr:colOff>
      <xdr:row>1108</xdr:row>
      <xdr:rowOff>70998</xdr:rowOff>
    </xdr:to>
    <xdr:graphicFrame macro="">
      <xdr:nvGraphicFramePr>
        <xdr:cNvPr id="94" name="Diagram 15">
          <a:extLst>
            <a:ext uri="{FF2B5EF4-FFF2-40B4-BE49-F238E27FC236}">
              <a16:creationId xmlns:a16="http://schemas.microsoft.com/office/drawing/2014/main" xmlns=""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29695</xdr:colOff>
      <xdr:row>1132</xdr:row>
      <xdr:rowOff>17369</xdr:rowOff>
    </xdr:from>
    <xdr:to>
      <xdr:col>6</xdr:col>
      <xdr:colOff>539784</xdr:colOff>
      <xdr:row>1157</xdr:row>
      <xdr:rowOff>55310</xdr:rowOff>
    </xdr:to>
    <xdr:graphicFrame macro="">
      <xdr:nvGraphicFramePr>
        <xdr:cNvPr id="95" name="Diagram 21">
          <a:extLst>
            <a:ext uri="{FF2B5EF4-FFF2-40B4-BE49-F238E27FC236}">
              <a16:creationId xmlns:a16="http://schemas.microsoft.com/office/drawing/2014/main" xmlns=""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16807</xdr:colOff>
      <xdr:row>1183</xdr:row>
      <xdr:rowOff>21850</xdr:rowOff>
    </xdr:from>
    <xdr:to>
      <xdr:col>6</xdr:col>
      <xdr:colOff>526896</xdr:colOff>
      <xdr:row>1208</xdr:row>
      <xdr:rowOff>59791</xdr:rowOff>
    </xdr:to>
    <xdr:graphicFrame macro="">
      <xdr:nvGraphicFramePr>
        <xdr:cNvPr id="96" name="Diagram 15">
          <a:extLst>
            <a:ext uri="{FF2B5EF4-FFF2-40B4-BE49-F238E27FC236}">
              <a16:creationId xmlns:a16="http://schemas.microsoft.com/office/drawing/2014/main" xmlns=""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0</xdr:colOff>
      <xdr:row>653</xdr:row>
      <xdr:rowOff>0</xdr:rowOff>
    </xdr:from>
    <xdr:to>
      <xdr:col>14</xdr:col>
      <xdr:colOff>298423</xdr:colOff>
      <xdr:row>678</xdr:row>
      <xdr:rowOff>37941</xdr:rowOff>
    </xdr:to>
    <xdr:graphicFrame macro="">
      <xdr:nvGraphicFramePr>
        <xdr:cNvPr id="91" name="Diagram 21">
          <a:extLst>
            <a:ext uri="{FF2B5EF4-FFF2-40B4-BE49-F238E27FC236}">
              <a16:creationId xmlns:a16="http://schemas.microsoft.com/office/drawing/2014/main" xmlns="" id="{A4647BC8-2F5A-4007-B3CF-29998A6E8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8</xdr:col>
      <xdr:colOff>0</xdr:colOff>
      <xdr:row>127</xdr:row>
      <xdr:rowOff>0</xdr:rowOff>
    </xdr:from>
    <xdr:to>
      <xdr:col>16</xdr:col>
      <xdr:colOff>346080</xdr:colOff>
      <xdr:row>151</xdr:row>
      <xdr:rowOff>73800</xdr:rowOff>
    </xdr:to>
    <xdr:graphicFrame macro="">
      <xdr:nvGraphicFramePr>
        <xdr:cNvPr id="92" name="Diagram 15">
          <a:extLst>
            <a:ext uri="{FF2B5EF4-FFF2-40B4-BE49-F238E27FC236}">
              <a16:creationId xmlns:a16="http://schemas.microsoft.com/office/drawing/2014/main" xmlns="" id="{50E74C33-05AC-48CA-8E24-34686D0B2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9</xdr:col>
      <xdr:colOff>349250</xdr:colOff>
      <xdr:row>98</xdr:row>
      <xdr:rowOff>74083</xdr:rowOff>
    </xdr:from>
    <xdr:to>
      <xdr:col>17</xdr:col>
      <xdr:colOff>695330</xdr:colOff>
      <xdr:row>124</xdr:row>
      <xdr:rowOff>137299</xdr:rowOff>
    </xdr:to>
    <xdr:graphicFrame macro="">
      <xdr:nvGraphicFramePr>
        <xdr:cNvPr id="97" name="Diagram 15">
          <a:extLst>
            <a:ext uri="{FF2B5EF4-FFF2-40B4-BE49-F238E27FC236}">
              <a16:creationId xmlns:a16="http://schemas.microsoft.com/office/drawing/2014/main" xmlns="" id="{CA1AC015-A9D5-462D-9BD6-C2B823E69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0</xdr:rowOff>
    </xdr:from>
    <xdr:to>
      <xdr:col>5</xdr:col>
      <xdr:colOff>0</xdr:colOff>
      <xdr:row>37</xdr:row>
      <xdr:rowOff>107156</xdr:rowOff>
    </xdr:to>
    <xdr:graphicFrame macro="">
      <xdr:nvGraphicFramePr>
        <xdr:cNvPr id="2" name="Diagram 21">
          <a:extLst>
            <a:ext uri="{FF2B5EF4-FFF2-40B4-BE49-F238E27FC236}">
              <a16:creationId xmlns:a16="http://schemas.microsoft.com/office/drawing/2014/main" xmlns="" id="{076248C9-FBF7-4D07-84EC-FAEEF4870B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81076</xdr:colOff>
      <xdr:row>68</xdr:row>
      <xdr:rowOff>81643</xdr:rowOff>
    </xdr:from>
    <xdr:to>
      <xdr:col>6</xdr:col>
      <xdr:colOff>598714</xdr:colOff>
      <xdr:row>102</xdr:row>
      <xdr:rowOff>95250</xdr:rowOff>
    </xdr:to>
    <xdr:graphicFrame macro="">
      <xdr:nvGraphicFramePr>
        <xdr:cNvPr id="7" name="Diagram 6">
          <a:extLst>
            <a:ext uri="{FF2B5EF4-FFF2-40B4-BE49-F238E27FC236}">
              <a16:creationId xmlns:a16="http://schemas.microsoft.com/office/drawing/2014/main" xmlns="" id="{3D32386B-00A7-4F81-B1F1-47FBFA11C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75</xdr:row>
      <xdr:rowOff>0</xdr:rowOff>
    </xdr:from>
    <xdr:to>
      <xdr:col>19</xdr:col>
      <xdr:colOff>328840</xdr:colOff>
      <xdr:row>101</xdr:row>
      <xdr:rowOff>6351</xdr:rowOff>
    </xdr:to>
    <xdr:graphicFrame macro="">
      <xdr:nvGraphicFramePr>
        <xdr:cNvPr id="8" name="Diagram 7">
          <a:extLst>
            <a:ext uri="{FF2B5EF4-FFF2-40B4-BE49-F238E27FC236}">
              <a16:creationId xmlns:a16="http://schemas.microsoft.com/office/drawing/2014/main" xmlns="" id="{FFF40862-4D63-40C4-9898-3C6CDF87C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297657</xdr:colOff>
      <xdr:row>75</xdr:row>
      <xdr:rowOff>0</xdr:rowOff>
    </xdr:from>
    <xdr:to>
      <xdr:col>32</xdr:col>
      <xdr:colOff>102622</xdr:colOff>
      <xdr:row>101</xdr:row>
      <xdr:rowOff>6351</xdr:rowOff>
    </xdr:to>
    <xdr:graphicFrame macro="">
      <xdr:nvGraphicFramePr>
        <xdr:cNvPr id="9" name="Diagram 8">
          <a:extLst>
            <a:ext uri="{FF2B5EF4-FFF2-40B4-BE49-F238E27FC236}">
              <a16:creationId xmlns:a16="http://schemas.microsoft.com/office/drawing/2014/main" xmlns="" id="{DF06D4A2-6E47-4F85-AAD0-60DC91BC3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353788</xdr:colOff>
      <xdr:row>32</xdr:row>
      <xdr:rowOff>54427</xdr:rowOff>
    </xdr:from>
    <xdr:to>
      <xdr:col>28</xdr:col>
      <xdr:colOff>517073</xdr:colOff>
      <xdr:row>72</xdr:row>
      <xdr:rowOff>68035</xdr:rowOff>
    </xdr:to>
    <xdr:graphicFrame macro="">
      <xdr:nvGraphicFramePr>
        <xdr:cNvPr id="14" name="Diagram 13">
          <a:extLst>
            <a:ext uri="{FF2B5EF4-FFF2-40B4-BE49-F238E27FC236}">
              <a16:creationId xmlns:a16="http://schemas.microsoft.com/office/drawing/2014/main" xmlns="" id="{3ABDE871-EC55-41C3-9A54-79E647F41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Thomas Ahrens Nielsen" id="{6AE7618A-E0B6-465A-9BE5-6EAA66DA70F2}" userId="S::tan@planenergi.dk::a248c4d7-f4f9-4cf9-8780-454d31fd0788" providerId="AD"/>
</personList>
</file>

<file path=xl/theme/theme1.xml><?xml version="1.0" encoding="utf-8"?>
<a:theme xmlns:a="http://schemas.openxmlformats.org/drawingml/2006/main" name="Office-tema">
  <a:themeElements>
    <a:clrScheme name="Blå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45" dT="2020-12-18T10:49:24.36" personId="{6AE7618A-E0B6-465A-9BE5-6EAA66DA70F2}" id="{90E75199-905E-4B16-9E59-54F5D32C9A0F}">
    <text>Varmepumpe Mjelby og langå se ark1 for beregning. 
erstattes af VP - Varmeforbrug der skal dækkes er = 35 TJ</text>
  </threadedComment>
</ThreadedComments>
</file>

<file path=xl/threadedComments/threadedComment2.xml><?xml version="1.0" encoding="utf-8"?>
<ThreadedComments xmlns="http://schemas.microsoft.com/office/spreadsheetml/2018/threadedcomments" xmlns:x="http://schemas.openxmlformats.org/spreadsheetml/2006/main">
  <threadedComment ref="I45" dT="2020-12-18T10:49:24.36" personId="{6AE7618A-E0B6-465A-9BE5-6EAA66DA70F2}" id="{8ACD2729-D317-462D-8215-5E253D327FB4}">
    <text>Varmepumpe Mjelby og langå se ark1 for beregning. 
erstattes af VP - Varmeforbrug der skal dækkes er = 35 TJ</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V100"/>
  <sheetViews>
    <sheetView showGridLines="0" showZeros="0" topLeftCell="F79" zoomScale="85" zoomScaleNormal="85" workbookViewId="0">
      <selection activeCell="S93" sqref="S93"/>
    </sheetView>
  </sheetViews>
  <sheetFormatPr defaultColWidth="9.109375" defaultRowHeight="13.2" x14ac:dyDescent="0.25"/>
  <cols>
    <col min="1" max="23" width="7.109375" style="18" customWidth="1"/>
    <col min="24" max="24" width="8.6640625" style="18" customWidth="1"/>
    <col min="25" max="25" width="58.33203125" style="6" bestFit="1" customWidth="1"/>
    <col min="26" max="29" width="5.6640625" style="18" customWidth="1"/>
    <col min="30" max="34" width="8.6640625" style="18" customWidth="1"/>
    <col min="35" max="43" width="7.109375" style="18" customWidth="1"/>
    <col min="44" max="16384" width="9.109375" style="6"/>
  </cols>
  <sheetData>
    <row r="1" spans="1:48" ht="15" customHeight="1" x14ac:dyDescent="0.25">
      <c r="A1" s="227" t="s">
        <v>48</v>
      </c>
      <c r="B1" s="228"/>
      <c r="C1" s="228"/>
      <c r="D1" s="415">
        <v>114140</v>
      </c>
      <c r="E1" s="416"/>
      <c r="F1" s="16"/>
      <c r="G1" s="16"/>
      <c r="H1" s="16"/>
      <c r="I1" s="16"/>
      <c r="K1" s="16"/>
      <c r="L1" s="16"/>
      <c r="M1" s="16"/>
      <c r="N1" s="16"/>
      <c r="O1" s="16"/>
      <c r="P1" s="16"/>
      <c r="Q1" s="16"/>
      <c r="R1" s="16"/>
      <c r="S1" s="16"/>
      <c r="T1" s="16"/>
      <c r="U1" s="16"/>
      <c r="V1" s="204"/>
      <c r="W1" s="204"/>
      <c r="X1" s="204"/>
      <c r="Y1" s="417" t="s">
        <v>73</v>
      </c>
      <c r="Z1" s="204"/>
      <c r="AA1" s="204"/>
      <c r="AB1" s="204"/>
      <c r="AC1" s="204"/>
      <c r="AD1" s="16"/>
      <c r="AE1" s="16"/>
      <c r="AF1" s="16"/>
      <c r="AG1" s="16"/>
      <c r="AH1" s="16"/>
      <c r="AI1" s="16"/>
      <c r="AJ1" s="16"/>
      <c r="AK1" s="16"/>
      <c r="AL1" s="16"/>
      <c r="AM1" s="16"/>
      <c r="AN1" s="16"/>
      <c r="AO1" s="16"/>
      <c r="AP1" s="16"/>
      <c r="AQ1" s="16"/>
    </row>
    <row r="2" spans="1:48" ht="15" customHeight="1" x14ac:dyDescent="0.3">
      <c r="A2" s="229" t="s">
        <v>50</v>
      </c>
      <c r="B2" s="16"/>
      <c r="C2" s="16"/>
      <c r="D2" s="122">
        <v>91.85</v>
      </c>
      <c r="E2" s="230" t="s">
        <v>49</v>
      </c>
      <c r="F2" s="16"/>
      <c r="G2" s="16"/>
      <c r="H2" s="124"/>
      <c r="I2" s="16"/>
      <c r="J2" s="16"/>
      <c r="K2" s="16"/>
      <c r="L2" s="16"/>
      <c r="M2" s="16"/>
      <c r="N2" s="16"/>
      <c r="O2" s="16"/>
      <c r="P2" s="16"/>
      <c r="Q2" s="16"/>
      <c r="R2" s="16"/>
      <c r="S2" s="16"/>
      <c r="T2" s="16"/>
      <c r="U2" s="16"/>
      <c r="V2" s="204"/>
      <c r="W2" s="204"/>
      <c r="X2" s="204"/>
      <c r="Y2" s="417"/>
      <c r="Z2" s="204"/>
      <c r="AA2" s="204"/>
      <c r="AB2" s="204"/>
      <c r="AC2" s="204"/>
      <c r="AD2" s="16"/>
      <c r="AE2" s="16"/>
      <c r="AF2" s="16"/>
      <c r="AG2" s="16"/>
      <c r="AH2" s="16"/>
      <c r="AI2" s="16"/>
      <c r="AJ2" s="16"/>
      <c r="AK2" s="16"/>
      <c r="AL2" s="16"/>
      <c r="AM2" s="16"/>
      <c r="AN2" s="16"/>
      <c r="AO2" s="16"/>
      <c r="AP2" s="16"/>
      <c r="AQ2" s="16"/>
    </row>
    <row r="3" spans="1:48" ht="15" customHeight="1" thickBot="1" x14ac:dyDescent="0.3">
      <c r="A3" s="231" t="s">
        <v>46</v>
      </c>
      <c r="B3" s="232"/>
      <c r="C3" s="232"/>
      <c r="D3" s="232" t="s">
        <v>47</v>
      </c>
      <c r="E3" s="233"/>
      <c r="F3" s="16"/>
      <c r="G3" s="16"/>
      <c r="H3" s="16"/>
      <c r="I3" s="16"/>
      <c r="J3" s="16"/>
      <c r="K3" s="16"/>
      <c r="L3" s="16"/>
      <c r="M3" s="16"/>
      <c r="N3" s="16"/>
      <c r="O3" s="16"/>
      <c r="P3" s="16"/>
      <c r="Q3" s="16"/>
      <c r="R3" s="16"/>
      <c r="S3" s="16"/>
      <c r="T3" s="16"/>
      <c r="U3" s="16"/>
      <c r="V3" s="204"/>
      <c r="W3" s="204"/>
      <c r="X3" s="204"/>
      <c r="Y3" s="418" t="s">
        <v>272</v>
      </c>
      <c r="Z3" s="204"/>
      <c r="AA3" s="204"/>
      <c r="AB3" s="204"/>
      <c r="AC3" s="204"/>
      <c r="AD3" s="16"/>
      <c r="AE3" s="16"/>
      <c r="AF3" s="16"/>
      <c r="AG3" s="16"/>
      <c r="AH3" s="16"/>
      <c r="AI3" s="16"/>
      <c r="AJ3" s="16"/>
      <c r="AK3" s="16"/>
      <c r="AL3" s="16"/>
      <c r="AM3" s="16"/>
      <c r="AN3" s="16"/>
      <c r="AO3" s="16"/>
      <c r="AP3" s="16"/>
      <c r="AQ3" s="16"/>
    </row>
    <row r="4" spans="1:48" ht="15" customHeight="1" x14ac:dyDescent="0.25">
      <c r="A4" s="16"/>
      <c r="B4" s="16"/>
      <c r="C4" s="16"/>
      <c r="D4" s="16"/>
      <c r="E4" s="16"/>
      <c r="F4" s="16"/>
      <c r="G4" s="16"/>
      <c r="H4" s="16"/>
      <c r="I4" s="16"/>
      <c r="J4" s="16"/>
      <c r="K4" s="16"/>
      <c r="L4" s="16"/>
      <c r="M4" s="16"/>
      <c r="N4" s="16"/>
      <c r="O4" s="16"/>
      <c r="P4" s="16"/>
      <c r="Q4" s="16"/>
      <c r="R4" s="16"/>
      <c r="S4" s="16"/>
      <c r="T4" s="16"/>
      <c r="U4" s="16"/>
      <c r="V4" s="204"/>
      <c r="W4" s="204"/>
      <c r="X4" s="204"/>
      <c r="Y4" s="418"/>
      <c r="Z4" s="204"/>
      <c r="AA4" s="204"/>
      <c r="AB4" s="204"/>
      <c r="AC4" s="204"/>
      <c r="AD4" s="16"/>
      <c r="AE4" s="16"/>
      <c r="AF4" s="16"/>
      <c r="AG4" s="16"/>
      <c r="AH4" s="16"/>
      <c r="AI4" s="16"/>
      <c r="AJ4" s="16"/>
      <c r="AK4" s="16"/>
      <c r="AL4" s="16"/>
      <c r="AM4" s="16"/>
      <c r="AN4" s="16"/>
      <c r="AO4" s="16"/>
      <c r="AP4" s="16"/>
      <c r="AQ4" s="16"/>
    </row>
    <row r="5" spans="1:48" ht="15" customHeight="1" x14ac:dyDescent="0.25">
      <c r="A5" s="16"/>
      <c r="B5" s="16"/>
      <c r="C5" s="16"/>
      <c r="D5" s="16"/>
      <c r="E5" s="16"/>
      <c r="F5" s="16"/>
      <c r="G5" s="16"/>
      <c r="H5" s="16"/>
      <c r="I5" s="16"/>
      <c r="J5" s="16"/>
      <c r="K5" s="16"/>
      <c r="L5" s="16"/>
      <c r="M5" s="16"/>
      <c r="N5" s="16"/>
      <c r="O5" s="16"/>
      <c r="P5" s="16"/>
      <c r="Q5" s="16"/>
      <c r="R5" s="16"/>
      <c r="S5" s="16"/>
      <c r="T5" s="16"/>
      <c r="U5" s="16"/>
      <c r="V5" s="16"/>
      <c r="W5" s="16"/>
      <c r="X5" s="16"/>
      <c r="Z5" s="16"/>
      <c r="AA5" s="16"/>
      <c r="AB5" s="16"/>
      <c r="AC5" s="16"/>
      <c r="AD5" s="16"/>
      <c r="AE5" s="16"/>
      <c r="AF5" s="16"/>
      <c r="AG5" s="16"/>
      <c r="AH5" s="16"/>
      <c r="AI5" s="16"/>
      <c r="AJ5" s="16"/>
      <c r="AK5" s="16"/>
      <c r="AL5" s="16"/>
      <c r="AM5" s="16"/>
      <c r="AN5" s="16"/>
      <c r="AO5" s="16"/>
      <c r="AP5" s="16"/>
      <c r="AQ5" s="16"/>
    </row>
    <row r="6" spans="1:48" ht="15" customHeight="1" x14ac:dyDescent="0.3">
      <c r="A6" s="414" t="s">
        <v>0</v>
      </c>
      <c r="B6" s="414"/>
      <c r="C6" s="414"/>
      <c r="D6" s="414"/>
      <c r="E6" s="414"/>
      <c r="F6" s="414"/>
      <c r="G6" s="414"/>
      <c r="H6" s="414"/>
      <c r="I6" s="414"/>
      <c r="J6" s="414"/>
      <c r="K6" s="414"/>
      <c r="L6" s="414"/>
      <c r="M6" s="414"/>
      <c r="N6" s="414"/>
      <c r="O6" s="414"/>
      <c r="P6" s="414"/>
      <c r="Q6" s="414"/>
      <c r="R6" s="414"/>
      <c r="S6" s="414"/>
      <c r="T6" s="414"/>
      <c r="U6" s="414"/>
      <c r="V6" s="414"/>
      <c r="W6" s="414"/>
      <c r="X6" s="414"/>
      <c r="Y6" s="201" t="s">
        <v>51</v>
      </c>
      <c r="Z6" s="414" t="s">
        <v>104</v>
      </c>
      <c r="AA6" s="414"/>
      <c r="AB6" s="414"/>
      <c r="AC6" s="414"/>
      <c r="AD6" s="414" t="s">
        <v>53</v>
      </c>
      <c r="AE6" s="414"/>
      <c r="AF6" s="414" t="s">
        <v>52</v>
      </c>
      <c r="AG6" s="414"/>
      <c r="AH6" s="205"/>
      <c r="AI6" s="414" t="s">
        <v>1</v>
      </c>
      <c r="AJ6" s="414"/>
      <c r="AK6" s="414"/>
      <c r="AL6" s="414"/>
      <c r="AM6" s="414"/>
      <c r="AN6" s="414"/>
      <c r="AO6" s="414"/>
      <c r="AP6" s="414"/>
      <c r="AQ6" s="414"/>
    </row>
    <row r="7" spans="1:48" s="9" customFormat="1" ht="159.9" customHeight="1" thickBot="1" x14ac:dyDescent="0.8">
      <c r="A7" s="209" t="s">
        <v>74</v>
      </c>
      <c r="B7" s="207" t="s">
        <v>75</v>
      </c>
      <c r="C7" s="207" t="s">
        <v>76</v>
      </c>
      <c r="D7" s="207" t="s">
        <v>77</v>
      </c>
      <c r="E7" s="207" t="s">
        <v>78</v>
      </c>
      <c r="F7" s="207" t="s">
        <v>79</v>
      </c>
      <c r="G7" s="207" t="s">
        <v>80</v>
      </c>
      <c r="H7" s="207" t="s">
        <v>81</v>
      </c>
      <c r="I7" s="207" t="s">
        <v>82</v>
      </c>
      <c r="J7" s="207" t="s">
        <v>83</v>
      </c>
      <c r="K7" s="207" t="s">
        <v>84</v>
      </c>
      <c r="L7" s="207" t="s">
        <v>85</v>
      </c>
      <c r="M7" s="207" t="s">
        <v>86</v>
      </c>
      <c r="N7" s="207" t="s">
        <v>87</v>
      </c>
      <c r="O7" s="207" t="s">
        <v>88</v>
      </c>
      <c r="P7" s="207" t="s">
        <v>89</v>
      </c>
      <c r="Q7" s="207" t="s">
        <v>90</v>
      </c>
      <c r="R7" s="207" t="s">
        <v>91</v>
      </c>
      <c r="S7" s="207" t="s">
        <v>92</v>
      </c>
      <c r="T7" s="207" t="s">
        <v>93</v>
      </c>
      <c r="U7" s="207" t="s">
        <v>94</v>
      </c>
      <c r="V7" s="207" t="s">
        <v>95</v>
      </c>
      <c r="W7" s="207" t="s">
        <v>96</v>
      </c>
      <c r="X7" s="208" t="s">
        <v>97</v>
      </c>
      <c r="Y7" s="130"/>
      <c r="Z7" s="206" t="s">
        <v>98</v>
      </c>
      <c r="AA7" s="207" t="s">
        <v>99</v>
      </c>
      <c r="AB7" s="207" t="s">
        <v>100</v>
      </c>
      <c r="AC7" s="208" t="s">
        <v>101</v>
      </c>
      <c r="AD7" s="209" t="s">
        <v>102</v>
      </c>
      <c r="AE7" s="208" t="s">
        <v>103</v>
      </c>
      <c r="AF7" s="209" t="s">
        <v>102</v>
      </c>
      <c r="AG7" s="208" t="s">
        <v>103</v>
      </c>
      <c r="AH7" s="210" t="s">
        <v>105</v>
      </c>
      <c r="AI7" s="211" t="s">
        <v>106</v>
      </c>
      <c r="AJ7" s="207" t="s">
        <v>107</v>
      </c>
      <c r="AK7" s="207" t="s">
        <v>108</v>
      </c>
      <c r="AL7" s="207" t="s">
        <v>109</v>
      </c>
      <c r="AM7" s="207" t="s">
        <v>110</v>
      </c>
      <c r="AN7" s="207" t="s">
        <v>111</v>
      </c>
      <c r="AO7" s="212" t="s">
        <v>112</v>
      </c>
      <c r="AP7" s="212" t="s">
        <v>113</v>
      </c>
      <c r="AQ7" s="208" t="s">
        <v>114</v>
      </c>
    </row>
    <row r="8" spans="1:48" ht="15" customHeight="1" x14ac:dyDescent="0.25">
      <c r="A8" s="337"/>
      <c r="B8" s="338"/>
      <c r="C8" s="338"/>
      <c r="D8" s="338"/>
      <c r="E8" s="338"/>
      <c r="F8" s="338"/>
      <c r="G8" s="338"/>
      <c r="H8" s="338"/>
      <c r="I8" s="338"/>
      <c r="J8" s="338"/>
      <c r="K8" s="338"/>
      <c r="L8" s="338"/>
      <c r="M8" s="338"/>
      <c r="N8" s="338"/>
      <c r="O8" s="338"/>
      <c r="P8" s="338"/>
      <c r="Q8" s="338"/>
      <c r="R8" s="338"/>
      <c r="S8" s="338"/>
      <c r="T8" s="338"/>
      <c r="U8" s="338"/>
      <c r="V8" s="338"/>
      <c r="W8" s="338"/>
      <c r="X8" s="339">
        <f t="shared" ref="X8:X80" si="0">SUM(A8:W8)</f>
        <v>0</v>
      </c>
      <c r="Y8" s="374" t="s">
        <v>3</v>
      </c>
      <c r="Z8" s="337"/>
      <c r="AA8" s="338">
        <v>44</v>
      </c>
      <c r="AB8" s="338"/>
      <c r="AC8" s="339"/>
      <c r="AD8" s="337">
        <f t="shared" ref="AD8:AD13" si="1">-AE8/$D$2%</f>
        <v>-100.21279754540507</v>
      </c>
      <c r="AE8" s="385">
        <f>AH8/AA8%</f>
        <v>92.045454545454547</v>
      </c>
      <c r="AF8" s="386"/>
      <c r="AG8" s="385"/>
      <c r="AH8" s="387">
        <f t="shared" ref="AH8:AH14" si="2">SUM(AI8:AQ8)</f>
        <v>40.5</v>
      </c>
      <c r="AI8" s="379">
        <v>40.5</v>
      </c>
      <c r="AJ8" s="142"/>
      <c r="AK8" s="142"/>
      <c r="AL8" s="142"/>
      <c r="AM8" s="142"/>
      <c r="AN8" s="142"/>
      <c r="AO8" s="142"/>
      <c r="AP8" s="142"/>
      <c r="AQ8" s="143"/>
    </row>
    <row r="9" spans="1:48" ht="15" customHeight="1" x14ac:dyDescent="0.25">
      <c r="A9" s="337"/>
      <c r="B9" s="338"/>
      <c r="C9" s="338"/>
      <c r="D9" s="338"/>
      <c r="E9" s="338"/>
      <c r="F9" s="338"/>
      <c r="G9" s="338"/>
      <c r="H9" s="338"/>
      <c r="I9" s="338"/>
      <c r="J9" s="338"/>
      <c r="K9" s="338"/>
      <c r="L9" s="338"/>
      <c r="M9" s="338"/>
      <c r="N9" s="338"/>
      <c r="O9" s="338"/>
      <c r="P9" s="338"/>
      <c r="Q9" s="338"/>
      <c r="R9" s="338"/>
      <c r="S9" s="338"/>
      <c r="T9" s="338"/>
      <c r="U9" s="338"/>
      <c r="V9" s="338"/>
      <c r="W9" s="338"/>
      <c r="X9" s="339">
        <f t="shared" si="0"/>
        <v>0</v>
      </c>
      <c r="Y9" s="374" t="s">
        <v>4</v>
      </c>
      <c r="Z9" s="337"/>
      <c r="AA9" s="338"/>
      <c r="AB9" s="338">
        <v>90</v>
      </c>
      <c r="AC9" s="339"/>
      <c r="AD9" s="337">
        <f t="shared" si="1"/>
        <v>-7.5001512127260632</v>
      </c>
      <c r="AE9" s="385">
        <f>AH9/AB9%</f>
        <v>6.8888888888888893</v>
      </c>
      <c r="AF9" s="386"/>
      <c r="AG9" s="385"/>
      <c r="AH9" s="387">
        <f t="shared" si="2"/>
        <v>6.2</v>
      </c>
      <c r="AI9" s="383">
        <v>6.2</v>
      </c>
      <c r="AJ9" s="142"/>
      <c r="AK9" s="142"/>
      <c r="AL9" s="142"/>
      <c r="AM9" s="142"/>
      <c r="AN9" s="142"/>
      <c r="AO9" s="142"/>
      <c r="AP9" s="142"/>
      <c r="AQ9" s="143"/>
    </row>
    <row r="10" spans="1:48" ht="15" customHeight="1" x14ac:dyDescent="0.25">
      <c r="A10" s="337"/>
      <c r="B10" s="338"/>
      <c r="C10" s="338"/>
      <c r="D10" s="338"/>
      <c r="E10" s="338"/>
      <c r="F10" s="338"/>
      <c r="G10" s="338"/>
      <c r="H10" s="338"/>
      <c r="I10" s="338"/>
      <c r="J10" s="338"/>
      <c r="K10" s="338"/>
      <c r="L10" s="338"/>
      <c r="M10" s="338"/>
      <c r="N10" s="338"/>
      <c r="O10" s="338"/>
      <c r="P10" s="338"/>
      <c r="Q10" s="338"/>
      <c r="R10" s="338"/>
      <c r="S10" s="338"/>
      <c r="T10" s="338"/>
      <c r="U10" s="338"/>
      <c r="V10" s="338"/>
      <c r="W10" s="338"/>
      <c r="X10" s="339">
        <f t="shared" si="0"/>
        <v>0</v>
      </c>
      <c r="Y10" s="374" t="s">
        <v>5</v>
      </c>
      <c r="Z10" s="337"/>
      <c r="AA10" s="338"/>
      <c r="AB10" s="338">
        <v>100</v>
      </c>
      <c r="AC10" s="339"/>
      <c r="AD10" s="337">
        <f t="shared" si="1"/>
        <v>-32.00870985302123</v>
      </c>
      <c r="AE10" s="385">
        <f>AH10/AB10%</f>
        <v>29.4</v>
      </c>
      <c r="AF10" s="386"/>
      <c r="AG10" s="385"/>
      <c r="AH10" s="387">
        <f t="shared" si="2"/>
        <v>29.4</v>
      </c>
      <c r="AI10" s="383">
        <v>29.4</v>
      </c>
      <c r="AJ10" s="142"/>
      <c r="AK10" s="142"/>
      <c r="AL10" s="142"/>
      <c r="AM10" s="142"/>
      <c r="AN10" s="142"/>
      <c r="AO10" s="142"/>
      <c r="AP10" s="142"/>
      <c r="AQ10" s="143"/>
    </row>
    <row r="11" spans="1:48" ht="15" customHeight="1" x14ac:dyDescent="0.25">
      <c r="A11" s="337"/>
      <c r="B11" s="338"/>
      <c r="C11" s="338"/>
      <c r="D11" s="338"/>
      <c r="E11" s="338"/>
      <c r="F11" s="338"/>
      <c r="G11" s="338"/>
      <c r="H11" s="338"/>
      <c r="I11" s="338"/>
      <c r="J11" s="338"/>
      <c r="K11" s="338"/>
      <c r="L11" s="338"/>
      <c r="M11" s="338"/>
      <c r="N11" s="338"/>
      <c r="O11" s="338"/>
      <c r="P11" s="338"/>
      <c r="Q11" s="338"/>
      <c r="R11" s="338"/>
      <c r="S11" s="338"/>
      <c r="T11" s="338"/>
      <c r="U11" s="338"/>
      <c r="V11" s="338"/>
      <c r="W11" s="338"/>
      <c r="X11" s="339">
        <f t="shared" si="0"/>
        <v>0</v>
      </c>
      <c r="Y11" s="374" t="s">
        <v>18</v>
      </c>
      <c r="Z11" s="337"/>
      <c r="AA11" s="338">
        <v>50</v>
      </c>
      <c r="AB11" s="338"/>
      <c r="AC11" s="339"/>
      <c r="AD11" s="337">
        <f t="shared" si="1"/>
        <v>-259.23549706368334</v>
      </c>
      <c r="AE11" s="385">
        <f>AH11/AA11%</f>
        <v>238.10780405299315</v>
      </c>
      <c r="AF11" s="386"/>
      <c r="AG11" s="385"/>
      <c r="AH11" s="387">
        <f t="shared" si="2"/>
        <v>119.05390202649657</v>
      </c>
      <c r="AI11" s="383">
        <v>46.010289091700542</v>
      </c>
      <c r="AJ11" s="379">
        <v>22.718153257843227</v>
      </c>
      <c r="AK11" s="379">
        <v>13.335913320128627</v>
      </c>
      <c r="AL11" s="379">
        <v>19.417644533969696</v>
      </c>
      <c r="AM11" s="379">
        <v>0.43494709198286113</v>
      </c>
      <c r="AN11" s="379">
        <v>10.511732351298905</v>
      </c>
      <c r="AO11" s="379">
        <v>9.4099299204511919E-2</v>
      </c>
      <c r="AP11" s="379">
        <v>6.5311230803682063</v>
      </c>
      <c r="AQ11" s="143"/>
    </row>
    <row r="12" spans="1:48" ht="15" customHeight="1" x14ac:dyDescent="0.25">
      <c r="A12" s="337"/>
      <c r="B12" s="338"/>
      <c r="C12" s="338"/>
      <c r="D12" s="338"/>
      <c r="E12" s="338"/>
      <c r="F12" s="338"/>
      <c r="G12" s="338"/>
      <c r="H12" s="338"/>
      <c r="I12" s="338"/>
      <c r="J12" s="338"/>
      <c r="K12" s="338"/>
      <c r="L12" s="338"/>
      <c r="M12" s="338"/>
      <c r="N12" s="338"/>
      <c r="O12" s="338"/>
      <c r="P12" s="338"/>
      <c r="Q12" s="338"/>
      <c r="R12" s="338"/>
      <c r="S12" s="338"/>
      <c r="T12" s="338"/>
      <c r="U12" s="338"/>
      <c r="V12" s="338"/>
      <c r="W12" s="338"/>
      <c r="X12" s="339">
        <f t="shared" si="0"/>
        <v>0</v>
      </c>
      <c r="Y12" s="374" t="s">
        <v>19</v>
      </c>
      <c r="Z12" s="337"/>
      <c r="AA12" s="338">
        <v>150</v>
      </c>
      <c r="AB12" s="338"/>
      <c r="AC12" s="339"/>
      <c r="AD12" s="337">
        <f t="shared" si="1"/>
        <v>-232.82836592102817</v>
      </c>
      <c r="AE12" s="385">
        <f>AH12/AA12%</f>
        <v>213.85285409846438</v>
      </c>
      <c r="AF12" s="386"/>
      <c r="AG12" s="385"/>
      <c r="AH12" s="387">
        <f t="shared" si="2"/>
        <v>320.77928114769657</v>
      </c>
      <c r="AI12" s="383">
        <v>162.9654755570555</v>
      </c>
      <c r="AJ12" s="379"/>
      <c r="AK12" s="379">
        <v>44.808668755632191</v>
      </c>
      <c r="AL12" s="379">
        <v>65.243285634138189</v>
      </c>
      <c r="AM12" s="379">
        <v>1.7397883679314448</v>
      </c>
      <c r="AN12" s="379">
        <v>42.04692940519562</v>
      </c>
      <c r="AO12" s="379">
        <v>5.6459579522707144E-2</v>
      </c>
      <c r="AP12" s="379">
        <v>3.9186738482209234</v>
      </c>
      <c r="AQ12" s="143"/>
    </row>
    <row r="13" spans="1:48" ht="15" customHeight="1" x14ac:dyDescent="0.25">
      <c r="A13" s="337"/>
      <c r="B13" s="338"/>
      <c r="C13" s="338"/>
      <c r="D13" s="338"/>
      <c r="E13" s="338"/>
      <c r="F13" s="338"/>
      <c r="G13" s="338"/>
      <c r="H13" s="338"/>
      <c r="I13" s="338"/>
      <c r="J13" s="338"/>
      <c r="K13" s="338"/>
      <c r="L13" s="338"/>
      <c r="M13" s="338"/>
      <c r="N13" s="338"/>
      <c r="O13" s="338"/>
      <c r="P13" s="338"/>
      <c r="Q13" s="338"/>
      <c r="R13" s="338"/>
      <c r="S13" s="338"/>
      <c r="T13" s="338"/>
      <c r="U13" s="338"/>
      <c r="V13" s="338"/>
      <c r="W13" s="338"/>
      <c r="X13" s="339">
        <f t="shared" si="0"/>
        <v>0</v>
      </c>
      <c r="Y13" s="374" t="s">
        <v>71</v>
      </c>
      <c r="Z13" s="337"/>
      <c r="AA13" s="338">
        <v>85</v>
      </c>
      <c r="AB13" s="338"/>
      <c r="AC13" s="339"/>
      <c r="AD13" s="337">
        <f t="shared" si="1"/>
        <v>-1737.8092350941454</v>
      </c>
      <c r="AE13" s="385">
        <f>AH13/AA13%</f>
        <v>1596.1777824339724</v>
      </c>
      <c r="AF13" s="386"/>
      <c r="AG13" s="385"/>
      <c r="AH13" s="387">
        <f t="shared" si="2"/>
        <v>1356.7511150688765</v>
      </c>
      <c r="AI13" s="383">
        <v>255.84689140733357</v>
      </c>
      <c r="AJ13" s="379">
        <v>104.41936367771646</v>
      </c>
      <c r="AK13" s="379">
        <v>42.621578971131093</v>
      </c>
      <c r="AL13" s="379">
        <v>62.058791930567139</v>
      </c>
      <c r="AM13" s="379">
        <v>10.598210807982381</v>
      </c>
      <c r="AN13" s="379">
        <v>256.13587829331669</v>
      </c>
      <c r="AO13" s="379">
        <v>0.87449615394059732</v>
      </c>
      <c r="AP13" s="379">
        <v>60.695903826888525</v>
      </c>
      <c r="AQ13" s="334">
        <f>1+51.5+511</f>
        <v>563.5</v>
      </c>
    </row>
    <row r="14" spans="1:48" ht="15" customHeight="1" x14ac:dyDescent="0.25">
      <c r="A14" s="337"/>
      <c r="B14" s="388"/>
      <c r="C14" s="338"/>
      <c r="D14" s="338"/>
      <c r="E14" s="338"/>
      <c r="F14" s="338"/>
      <c r="G14" s="338"/>
      <c r="H14" s="338"/>
      <c r="I14" s="338"/>
      <c r="J14" s="338"/>
      <c r="K14" s="338"/>
      <c r="L14" s="338"/>
      <c r="M14" s="338"/>
      <c r="N14" s="379">
        <f>AH14-AE14</f>
        <v>248</v>
      </c>
      <c r="O14" s="338"/>
      <c r="P14" s="338"/>
      <c r="Q14" s="338"/>
      <c r="R14" s="338"/>
      <c r="S14" s="338"/>
      <c r="T14" s="338"/>
      <c r="U14" s="338"/>
      <c r="V14" s="338"/>
      <c r="W14" s="338"/>
      <c r="X14" s="339">
        <f t="shared" si="0"/>
        <v>248</v>
      </c>
      <c r="Y14" s="374" t="s">
        <v>54</v>
      </c>
      <c r="Z14" s="337"/>
      <c r="AA14" s="338"/>
      <c r="AB14" s="338">
        <v>300</v>
      </c>
      <c r="AC14" s="339"/>
      <c r="AD14" s="337">
        <f>-AE14/$D$2%</f>
        <v>-135.00272182906915</v>
      </c>
      <c r="AE14" s="334">
        <f>9+6+109</f>
        <v>124</v>
      </c>
      <c r="AF14" s="386"/>
      <c r="AG14" s="385"/>
      <c r="AH14" s="387">
        <f t="shared" si="2"/>
        <v>372</v>
      </c>
      <c r="AI14" s="389">
        <f>AE14*AB14/100</f>
        <v>372</v>
      </c>
      <c r="AJ14" s="388"/>
      <c r="AK14" s="388"/>
      <c r="AL14" s="388"/>
      <c r="AM14" s="388"/>
      <c r="AN14" s="388"/>
      <c r="AO14" s="388"/>
      <c r="AP14" s="388"/>
      <c r="AQ14" s="385"/>
      <c r="AV14" s="11"/>
    </row>
    <row r="15" spans="1:48" ht="15" customHeight="1" x14ac:dyDescent="0.25">
      <c r="A15" s="381">
        <f>Z15%*AD15</f>
        <v>382.89561361760877</v>
      </c>
      <c r="B15" s="388"/>
      <c r="C15" s="338"/>
      <c r="D15" s="338"/>
      <c r="E15" s="338"/>
      <c r="F15" s="338"/>
      <c r="G15" s="338"/>
      <c r="H15" s="338"/>
      <c r="I15" s="338"/>
      <c r="J15" s="338"/>
      <c r="K15" s="338"/>
      <c r="L15" s="338"/>
      <c r="M15" s="338"/>
      <c r="N15" s="338"/>
      <c r="O15" s="338"/>
      <c r="P15" s="338"/>
      <c r="Q15" s="338"/>
      <c r="R15" s="338"/>
      <c r="S15" s="338"/>
      <c r="T15" s="338"/>
      <c r="U15" s="338"/>
      <c r="V15" s="338"/>
      <c r="W15" s="338"/>
      <c r="X15" s="339">
        <f t="shared" si="0"/>
        <v>382.89561361760877</v>
      </c>
      <c r="Y15" s="374" t="s">
        <v>34</v>
      </c>
      <c r="Z15" s="337">
        <v>100</v>
      </c>
      <c r="AA15" s="338"/>
      <c r="AB15" s="338"/>
      <c r="AC15" s="339"/>
      <c r="AD15" s="337">
        <f>-SUM(AD16:AD80,AD8:AD14)</f>
        <v>382.89561361760877</v>
      </c>
      <c r="AE15" s="385"/>
      <c r="AF15" s="386"/>
      <c r="AG15" s="385"/>
      <c r="AH15" s="387">
        <f t="shared" ref="AH15:AH52" si="3">SUM(AI15:AQ15)</f>
        <v>0</v>
      </c>
      <c r="AI15" s="386"/>
      <c r="AJ15" s="388"/>
      <c r="AK15" s="388"/>
      <c r="AL15" s="388"/>
      <c r="AM15" s="388"/>
      <c r="AN15" s="388"/>
      <c r="AO15" s="388"/>
      <c r="AP15" s="388"/>
      <c r="AQ15" s="385"/>
      <c r="AV15" s="11"/>
    </row>
    <row r="16" spans="1:48" ht="15" customHeight="1" x14ac:dyDescent="0.25">
      <c r="A16" s="390"/>
      <c r="B16" s="379">
        <v>43</v>
      </c>
      <c r="C16" s="344"/>
      <c r="D16" s="344"/>
      <c r="E16" s="391"/>
      <c r="F16" s="391"/>
      <c r="G16" s="391"/>
      <c r="H16" s="391"/>
      <c r="I16" s="391"/>
      <c r="J16" s="344"/>
      <c r="K16" s="344"/>
      <c r="L16" s="344"/>
      <c r="M16" s="344"/>
      <c r="N16" s="344"/>
      <c r="O16" s="344"/>
      <c r="P16" s="344"/>
      <c r="Q16" s="344"/>
      <c r="R16" s="344"/>
      <c r="S16" s="344"/>
      <c r="T16" s="344"/>
      <c r="U16" s="344"/>
      <c r="V16" s="344"/>
      <c r="W16" s="344"/>
      <c r="X16" s="339">
        <f t="shared" si="0"/>
        <v>43</v>
      </c>
      <c r="Y16" s="392" t="s">
        <v>72</v>
      </c>
      <c r="Z16" s="342"/>
      <c r="AA16" s="344"/>
      <c r="AB16" s="391">
        <v>38</v>
      </c>
      <c r="AC16" s="345"/>
      <c r="AD16" s="342"/>
      <c r="AE16" s="345"/>
      <c r="AF16" s="342"/>
      <c r="AG16" s="345"/>
      <c r="AH16" s="340">
        <f t="shared" si="3"/>
        <v>16.34</v>
      </c>
      <c r="AI16" s="152">
        <f>X16*AB16/100*0.2</f>
        <v>3.2680000000000002</v>
      </c>
      <c r="AJ16" s="276"/>
      <c r="AK16" s="276"/>
      <c r="AL16" s="276"/>
      <c r="AM16" s="276"/>
      <c r="AN16" s="276">
        <f>X16*AB16/100*0.6</f>
        <v>9.8040000000000003</v>
      </c>
      <c r="AO16" s="276"/>
      <c r="AP16" s="276"/>
      <c r="AQ16" s="277">
        <f>X16*AB16/100*0.2</f>
        <v>3.2680000000000002</v>
      </c>
      <c r="AV16" s="11"/>
    </row>
    <row r="17" spans="1:48" ht="15" customHeight="1" x14ac:dyDescent="0.25">
      <c r="A17" s="337"/>
      <c r="B17" s="388"/>
      <c r="C17" s="338"/>
      <c r="D17" s="338"/>
      <c r="E17" s="329">
        <f>145.7*0.9*0</f>
        <v>0</v>
      </c>
      <c r="F17" s="388"/>
      <c r="G17" s="388"/>
      <c r="H17" s="388"/>
      <c r="I17" s="388"/>
      <c r="J17" s="338"/>
      <c r="K17" s="338"/>
      <c r="L17" s="338"/>
      <c r="M17" s="338"/>
      <c r="N17" s="388"/>
      <c r="O17" s="388"/>
      <c r="P17" s="388"/>
      <c r="Q17" s="388"/>
      <c r="R17" s="388"/>
      <c r="S17" s="388"/>
      <c r="T17" s="388"/>
      <c r="U17" s="388"/>
      <c r="V17" s="388"/>
      <c r="W17" s="388"/>
      <c r="X17" s="339">
        <f t="shared" si="0"/>
        <v>0</v>
      </c>
      <c r="Y17" s="374" t="s">
        <v>55</v>
      </c>
      <c r="Z17" s="337"/>
      <c r="AA17" s="338"/>
      <c r="AB17" s="388">
        <v>80</v>
      </c>
      <c r="AC17" s="339"/>
      <c r="AD17" s="337"/>
      <c r="AE17" s="339"/>
      <c r="AF17" s="337"/>
      <c r="AG17" s="339"/>
      <c r="AH17" s="340">
        <f t="shared" si="3"/>
        <v>0</v>
      </c>
      <c r="AI17" s="346">
        <f t="shared" ref="AI17:AI22" si="4">X17*AB17/100</f>
        <v>0</v>
      </c>
      <c r="AJ17" s="338"/>
      <c r="AK17" s="338"/>
      <c r="AL17" s="338"/>
      <c r="AM17" s="338"/>
      <c r="AN17" s="338"/>
      <c r="AO17" s="338"/>
      <c r="AP17" s="338"/>
      <c r="AQ17" s="339"/>
      <c r="AS17" s="11"/>
    </row>
    <row r="18" spans="1:48" ht="15" customHeight="1" x14ac:dyDescent="0.25">
      <c r="A18" s="337"/>
      <c r="B18" s="388"/>
      <c r="C18" s="338"/>
      <c r="D18" s="338"/>
      <c r="E18" s="388"/>
      <c r="F18" s="388"/>
      <c r="G18" s="388"/>
      <c r="H18" s="388"/>
      <c r="I18" s="329">
        <f>(357.5*0.96)*0.8</f>
        <v>274.56</v>
      </c>
      <c r="J18" s="338"/>
      <c r="K18" s="338"/>
      <c r="L18" s="338"/>
      <c r="M18" s="338"/>
      <c r="N18" s="388"/>
      <c r="O18" s="388"/>
      <c r="P18" s="388"/>
      <c r="Q18" s="388"/>
      <c r="R18" s="388"/>
      <c r="S18" s="388"/>
      <c r="T18" s="388"/>
      <c r="U18" s="388"/>
      <c r="V18" s="388"/>
      <c r="W18" s="388"/>
      <c r="X18" s="339">
        <f t="shared" si="0"/>
        <v>274.56</v>
      </c>
      <c r="Y18" s="374" t="s">
        <v>56</v>
      </c>
      <c r="Z18" s="337"/>
      <c r="AA18" s="338"/>
      <c r="AB18" s="388">
        <v>85</v>
      </c>
      <c r="AC18" s="339"/>
      <c r="AD18" s="337"/>
      <c r="AE18" s="339"/>
      <c r="AF18" s="337"/>
      <c r="AG18" s="339"/>
      <c r="AH18" s="340">
        <f t="shared" si="3"/>
        <v>233.37599999999998</v>
      </c>
      <c r="AI18" s="346">
        <f t="shared" si="4"/>
        <v>233.37599999999998</v>
      </c>
      <c r="AJ18" s="338"/>
      <c r="AK18" s="338"/>
      <c r="AL18" s="338"/>
      <c r="AM18" s="338"/>
      <c r="AN18" s="338"/>
      <c r="AO18" s="338"/>
      <c r="AP18" s="338"/>
      <c r="AQ18" s="339"/>
      <c r="AS18" s="11"/>
    </row>
    <row r="19" spans="1:48" ht="15" customHeight="1" x14ac:dyDescent="0.25">
      <c r="A19" s="337"/>
      <c r="B19" s="338"/>
      <c r="C19" s="338"/>
      <c r="D19" s="338"/>
      <c r="E19" s="338"/>
      <c r="F19" s="338"/>
      <c r="G19" s="338"/>
      <c r="H19" s="338"/>
      <c r="I19" s="142"/>
      <c r="J19" s="338"/>
      <c r="K19" s="338"/>
      <c r="L19" s="338"/>
      <c r="M19" s="338"/>
      <c r="N19" s="388"/>
      <c r="O19" s="388"/>
      <c r="P19" s="388"/>
      <c r="Q19" s="142"/>
      <c r="R19" s="142"/>
      <c r="S19" s="329">
        <f>393*0.9+36.4</f>
        <v>390.09999999999997</v>
      </c>
      <c r="T19" s="388"/>
      <c r="U19" s="388"/>
      <c r="V19" s="388"/>
      <c r="W19" s="388"/>
      <c r="X19" s="339">
        <f t="shared" si="0"/>
        <v>390.09999999999997</v>
      </c>
      <c r="Y19" s="374" t="s">
        <v>57</v>
      </c>
      <c r="Z19" s="337"/>
      <c r="AA19" s="338"/>
      <c r="AB19" s="388">
        <v>75</v>
      </c>
      <c r="AC19" s="339"/>
      <c r="AD19" s="337"/>
      <c r="AE19" s="339"/>
      <c r="AF19" s="337"/>
      <c r="AG19" s="339"/>
      <c r="AH19" s="340">
        <f t="shared" si="3"/>
        <v>292.57499999999999</v>
      </c>
      <c r="AI19" s="346">
        <f t="shared" si="4"/>
        <v>292.57499999999999</v>
      </c>
      <c r="AJ19" s="338"/>
      <c r="AK19" s="338"/>
      <c r="AL19" s="338"/>
      <c r="AM19" s="338"/>
      <c r="AN19" s="338"/>
      <c r="AO19" s="338"/>
      <c r="AP19" s="338"/>
      <c r="AQ19" s="339"/>
      <c r="AV19" s="11"/>
    </row>
    <row r="20" spans="1:48" ht="15" customHeight="1" x14ac:dyDescent="0.25">
      <c r="A20" s="337"/>
      <c r="B20" s="338"/>
      <c r="C20" s="338"/>
      <c r="D20" s="338"/>
      <c r="E20" s="338"/>
      <c r="F20" s="338"/>
      <c r="G20" s="338"/>
      <c r="H20" s="338"/>
      <c r="I20" s="142"/>
      <c r="J20" s="338"/>
      <c r="K20" s="338"/>
      <c r="L20" s="338"/>
      <c r="M20" s="338"/>
      <c r="N20" s="388"/>
      <c r="O20" s="388"/>
      <c r="P20" s="388"/>
      <c r="Q20" s="142"/>
      <c r="R20" s="329">
        <f>362*0.9</f>
        <v>325.8</v>
      </c>
      <c r="S20" s="142"/>
      <c r="T20" s="388"/>
      <c r="U20" s="388"/>
      <c r="V20" s="388"/>
      <c r="W20" s="388"/>
      <c r="X20" s="339">
        <f t="shared" si="0"/>
        <v>325.8</v>
      </c>
      <c r="Y20" s="374" t="s">
        <v>58</v>
      </c>
      <c r="Z20" s="337"/>
      <c r="AA20" s="338"/>
      <c r="AB20" s="388">
        <v>65</v>
      </c>
      <c r="AC20" s="339"/>
      <c r="AD20" s="337"/>
      <c r="AE20" s="339"/>
      <c r="AF20" s="337"/>
      <c r="AG20" s="339"/>
      <c r="AH20" s="340">
        <f t="shared" si="3"/>
        <v>211.77</v>
      </c>
      <c r="AI20" s="346">
        <f t="shared" si="4"/>
        <v>211.77</v>
      </c>
      <c r="AJ20" s="338"/>
      <c r="AK20" s="338"/>
      <c r="AL20" s="338"/>
      <c r="AM20" s="338"/>
      <c r="AN20" s="338"/>
      <c r="AO20" s="338"/>
      <c r="AP20" s="338"/>
      <c r="AQ20" s="339"/>
      <c r="AS20" s="11"/>
    </row>
    <row r="21" spans="1:48" ht="15" customHeight="1" x14ac:dyDescent="0.25">
      <c r="A21" s="337"/>
      <c r="B21" s="338"/>
      <c r="C21" s="338"/>
      <c r="D21" s="338"/>
      <c r="E21" s="338"/>
      <c r="F21" s="338"/>
      <c r="G21" s="338"/>
      <c r="H21" s="338"/>
      <c r="I21" s="142"/>
      <c r="J21" s="338"/>
      <c r="K21" s="338"/>
      <c r="L21" s="338"/>
      <c r="M21" s="338"/>
      <c r="N21" s="388"/>
      <c r="O21" s="388"/>
      <c r="P21" s="388"/>
      <c r="Q21" s="329">
        <f>88.7*0.9</f>
        <v>79.83</v>
      </c>
      <c r="R21" s="142"/>
      <c r="S21" s="142"/>
      <c r="T21" s="388"/>
      <c r="U21" s="388"/>
      <c r="V21" s="388"/>
      <c r="W21" s="388"/>
      <c r="X21" s="339">
        <f t="shared" si="0"/>
        <v>79.83</v>
      </c>
      <c r="Y21" s="374" t="s">
        <v>59</v>
      </c>
      <c r="Z21" s="337"/>
      <c r="AA21" s="338"/>
      <c r="AB21" s="388">
        <v>65</v>
      </c>
      <c r="AC21" s="339"/>
      <c r="AD21" s="337"/>
      <c r="AE21" s="339"/>
      <c r="AF21" s="337"/>
      <c r="AG21" s="339"/>
      <c r="AH21" s="340">
        <f t="shared" si="3"/>
        <v>51.889499999999998</v>
      </c>
      <c r="AI21" s="346">
        <f t="shared" si="4"/>
        <v>51.889499999999998</v>
      </c>
      <c r="AJ21" s="338"/>
      <c r="AK21" s="338"/>
      <c r="AL21" s="338"/>
      <c r="AM21" s="338"/>
      <c r="AN21" s="338"/>
      <c r="AO21" s="338"/>
      <c r="AP21" s="338"/>
      <c r="AQ21" s="339"/>
      <c r="AS21" s="11"/>
    </row>
    <row r="22" spans="1:48" ht="15" customHeight="1" x14ac:dyDescent="0.25">
      <c r="A22" s="337"/>
      <c r="B22" s="338"/>
      <c r="C22" s="338"/>
      <c r="D22" s="338"/>
      <c r="E22" s="338"/>
      <c r="F22" s="338"/>
      <c r="G22" s="338"/>
      <c r="H22" s="338"/>
      <c r="I22" s="142"/>
      <c r="J22" s="338"/>
      <c r="K22" s="338"/>
      <c r="L22" s="379">
        <v>9.3000000000000007</v>
      </c>
      <c r="M22" s="338"/>
      <c r="N22" s="388"/>
      <c r="O22" s="388"/>
      <c r="P22" s="388"/>
      <c r="Q22" s="388"/>
      <c r="R22" s="388"/>
      <c r="S22" s="388"/>
      <c r="T22" s="388"/>
      <c r="U22" s="388"/>
      <c r="V22" s="388"/>
      <c r="W22" s="388"/>
      <c r="X22" s="339">
        <f t="shared" si="0"/>
        <v>9.3000000000000007</v>
      </c>
      <c r="Y22" s="374" t="s">
        <v>6</v>
      </c>
      <c r="Z22" s="337"/>
      <c r="AA22" s="338"/>
      <c r="AB22" s="338">
        <v>100</v>
      </c>
      <c r="AC22" s="339"/>
      <c r="AD22" s="337"/>
      <c r="AE22" s="339"/>
      <c r="AF22" s="337"/>
      <c r="AG22" s="339"/>
      <c r="AH22" s="340">
        <f t="shared" si="3"/>
        <v>9.3000000000000007</v>
      </c>
      <c r="AI22" s="346">
        <f t="shared" si="4"/>
        <v>9.3000000000000007</v>
      </c>
      <c r="AJ22" s="338"/>
      <c r="AK22" s="338"/>
      <c r="AL22" s="338"/>
      <c r="AM22" s="338"/>
      <c r="AN22" s="338"/>
      <c r="AO22" s="338"/>
      <c r="AP22" s="338"/>
      <c r="AQ22" s="339"/>
      <c r="AV22" s="11"/>
    </row>
    <row r="23" spans="1:48" ht="15" customHeight="1" x14ac:dyDescent="0.25">
      <c r="A23" s="337"/>
      <c r="B23" s="338"/>
      <c r="C23" s="388"/>
      <c r="D23" s="388"/>
      <c r="E23" s="379">
        <v>20.399999999999999</v>
      </c>
      <c r="F23" s="388"/>
      <c r="G23" s="388"/>
      <c r="H23" s="388"/>
      <c r="I23" s="142"/>
      <c r="J23" s="388"/>
      <c r="K23" s="388"/>
      <c r="L23" s="388"/>
      <c r="M23" s="388"/>
      <c r="N23" s="388"/>
      <c r="O23" s="388"/>
      <c r="P23" s="388"/>
      <c r="Q23" s="388"/>
      <c r="R23" s="388"/>
      <c r="S23" s="388"/>
      <c r="T23" s="388"/>
      <c r="U23" s="388"/>
      <c r="V23" s="388"/>
      <c r="W23" s="388"/>
      <c r="X23" s="339">
        <f t="shared" si="0"/>
        <v>20.399999999999999</v>
      </c>
      <c r="Y23" s="374" t="s">
        <v>60</v>
      </c>
      <c r="Z23" s="337"/>
      <c r="AA23" s="338">
        <v>90</v>
      </c>
      <c r="AB23" s="338"/>
      <c r="AC23" s="339"/>
      <c r="AD23" s="337"/>
      <c r="AE23" s="339"/>
      <c r="AF23" s="337"/>
      <c r="AG23" s="339"/>
      <c r="AH23" s="340">
        <f t="shared" si="3"/>
        <v>18.36</v>
      </c>
      <c r="AI23" s="346"/>
      <c r="AJ23" s="338"/>
      <c r="AK23" s="338"/>
      <c r="AL23" s="338"/>
      <c r="AM23" s="338"/>
      <c r="AN23" s="338">
        <f>X23*AA23/100</f>
        <v>18.36</v>
      </c>
      <c r="AO23" s="338"/>
      <c r="AP23" s="338"/>
      <c r="AQ23" s="339"/>
      <c r="AV23" s="11"/>
    </row>
    <row r="24" spans="1:48" ht="15" customHeight="1" x14ac:dyDescent="0.25">
      <c r="A24" s="337"/>
      <c r="B24" s="338"/>
      <c r="C24" s="388"/>
      <c r="D24" s="388"/>
      <c r="E24" s="388"/>
      <c r="F24" s="388"/>
      <c r="G24" s="388"/>
      <c r="H24" s="388"/>
      <c r="I24" s="379">
        <v>706.5</v>
      </c>
      <c r="J24" s="388"/>
      <c r="K24" s="388"/>
      <c r="L24" s="388"/>
      <c r="M24" s="388"/>
      <c r="N24" s="388"/>
      <c r="O24" s="388"/>
      <c r="P24" s="388"/>
      <c r="Q24" s="388"/>
      <c r="R24" s="388"/>
      <c r="S24" s="388"/>
      <c r="T24" s="388"/>
      <c r="U24" s="388"/>
      <c r="V24" s="388"/>
      <c r="W24" s="388"/>
      <c r="X24" s="339">
        <f t="shared" si="0"/>
        <v>706.5</v>
      </c>
      <c r="Y24" s="374" t="s">
        <v>61</v>
      </c>
      <c r="Z24" s="337"/>
      <c r="AA24" s="338">
        <v>90</v>
      </c>
      <c r="AB24" s="338"/>
      <c r="AC24" s="339"/>
      <c r="AD24" s="337"/>
      <c r="AE24" s="339"/>
      <c r="AF24" s="337"/>
      <c r="AG24" s="339"/>
      <c r="AH24" s="340">
        <f t="shared" si="3"/>
        <v>635.85</v>
      </c>
      <c r="AI24" s="346"/>
      <c r="AJ24" s="338"/>
      <c r="AK24" s="338"/>
      <c r="AL24" s="338"/>
      <c r="AM24" s="338"/>
      <c r="AN24" s="338">
        <f>X24*AA24/100</f>
        <v>635.85</v>
      </c>
      <c r="AO24" s="338"/>
      <c r="AP24" s="338"/>
      <c r="AQ24" s="339"/>
      <c r="AS24" s="11"/>
    </row>
    <row r="25" spans="1:48" ht="15" customHeight="1" x14ac:dyDescent="0.25">
      <c r="A25" s="337"/>
      <c r="B25" s="338"/>
      <c r="C25" s="379"/>
      <c r="D25" s="379"/>
      <c r="E25" s="142"/>
      <c r="F25" s="142"/>
      <c r="G25" s="142"/>
      <c r="H25" s="142"/>
      <c r="I25" s="142"/>
      <c r="J25" s="142"/>
      <c r="K25" s="142"/>
      <c r="L25" s="142"/>
      <c r="M25" s="142"/>
      <c r="N25" s="142"/>
      <c r="O25" s="384"/>
      <c r="P25" s="142"/>
      <c r="Q25" s="142"/>
      <c r="R25" s="142"/>
      <c r="S25" s="379">
        <v>1</v>
      </c>
      <c r="T25" s="384"/>
      <c r="U25" s="142"/>
      <c r="V25" s="142"/>
      <c r="W25" s="379"/>
      <c r="X25" s="339">
        <f t="shared" si="0"/>
        <v>1</v>
      </c>
      <c r="Y25" s="374" t="s">
        <v>217</v>
      </c>
      <c r="Z25" s="337"/>
      <c r="AA25" s="338">
        <v>90</v>
      </c>
      <c r="AB25" s="338"/>
      <c r="AC25" s="339"/>
      <c r="AD25" s="337"/>
      <c r="AE25" s="339"/>
      <c r="AF25" s="337"/>
      <c r="AG25" s="339"/>
      <c r="AH25" s="340">
        <f t="shared" si="3"/>
        <v>0.9</v>
      </c>
      <c r="AI25" s="389"/>
      <c r="AJ25" s="388"/>
      <c r="AK25" s="388"/>
      <c r="AL25" s="388"/>
      <c r="AM25" s="388"/>
      <c r="AN25" s="388">
        <f>X25*AA25/100</f>
        <v>0.9</v>
      </c>
      <c r="AO25" s="388"/>
      <c r="AP25" s="388"/>
      <c r="AQ25" s="339"/>
      <c r="AR25" s="15"/>
      <c r="AS25" s="11"/>
    </row>
    <row r="26" spans="1:48" ht="15" customHeight="1" x14ac:dyDescent="0.25">
      <c r="A26" s="337"/>
      <c r="B26" s="338"/>
      <c r="C26" s="338"/>
      <c r="D26" s="338"/>
      <c r="E26" s="338"/>
      <c r="F26" s="338"/>
      <c r="G26" s="338"/>
      <c r="H26" s="388"/>
      <c r="I26" s="388"/>
      <c r="J26" s="388"/>
      <c r="K26" s="388"/>
      <c r="L26" s="335">
        <f>42+153</f>
        <v>195</v>
      </c>
      <c r="M26" s="388"/>
      <c r="N26" s="388"/>
      <c r="O26" s="388"/>
      <c r="P26" s="388"/>
      <c r="Q26" s="388"/>
      <c r="R26" s="388"/>
      <c r="S26" s="388"/>
      <c r="T26" s="388"/>
      <c r="U26" s="388"/>
      <c r="V26" s="388"/>
      <c r="W26" s="388"/>
      <c r="X26" s="339">
        <f t="shared" si="0"/>
        <v>195</v>
      </c>
      <c r="Y26" s="374" t="s">
        <v>45</v>
      </c>
      <c r="Z26" s="338">
        <v>100</v>
      </c>
      <c r="AA26" s="338"/>
      <c r="AB26" s="338"/>
      <c r="AC26" s="339"/>
      <c r="AD26" s="337">
        <f>X26*Z26/100</f>
        <v>195</v>
      </c>
      <c r="AE26" s="339"/>
      <c r="AF26" s="337"/>
      <c r="AG26" s="339"/>
      <c r="AH26" s="340">
        <f t="shared" si="3"/>
        <v>0</v>
      </c>
      <c r="AI26" s="389"/>
      <c r="AJ26" s="388"/>
      <c r="AK26" s="388"/>
      <c r="AL26" s="388"/>
      <c r="AM26" s="388"/>
      <c r="AN26" s="388"/>
      <c r="AO26" s="388"/>
      <c r="AP26" s="388"/>
      <c r="AQ26" s="339"/>
      <c r="AV26" s="11"/>
    </row>
    <row r="27" spans="1:48" ht="15" customHeight="1" x14ac:dyDescent="0.25">
      <c r="A27" s="337"/>
      <c r="B27" s="338"/>
      <c r="C27" s="338"/>
      <c r="D27" s="338"/>
      <c r="E27" s="338"/>
      <c r="F27" s="338"/>
      <c r="G27" s="338"/>
      <c r="H27" s="388"/>
      <c r="I27" s="388"/>
      <c r="J27" s="335">
        <f>1209.6*1.5-325</f>
        <v>1489.3999999999999</v>
      </c>
      <c r="K27" s="388"/>
      <c r="L27" s="388"/>
      <c r="M27" s="388"/>
      <c r="N27" s="388"/>
      <c r="O27" s="388"/>
      <c r="P27" s="388"/>
      <c r="Q27" s="388"/>
      <c r="R27" s="388"/>
      <c r="S27" s="388"/>
      <c r="T27" s="388"/>
      <c r="U27" s="388"/>
      <c r="V27" s="388"/>
      <c r="W27" s="388"/>
      <c r="X27" s="339">
        <f t="shared" si="0"/>
        <v>1489.3999999999999</v>
      </c>
      <c r="Y27" s="374" t="s">
        <v>62</v>
      </c>
      <c r="Z27" s="338">
        <v>100</v>
      </c>
      <c r="AA27" s="338"/>
      <c r="AB27" s="338"/>
      <c r="AC27" s="339"/>
      <c r="AD27" s="337">
        <f>Z27*X27/100</f>
        <v>1489.4</v>
      </c>
      <c r="AE27" s="339"/>
      <c r="AF27" s="337"/>
      <c r="AG27" s="339"/>
      <c r="AH27" s="340">
        <f t="shared" si="3"/>
        <v>0</v>
      </c>
      <c r="AI27" s="389"/>
      <c r="AJ27" s="388"/>
      <c r="AK27" s="388"/>
      <c r="AL27" s="388"/>
      <c r="AM27" s="388"/>
      <c r="AN27" s="388"/>
      <c r="AO27" s="388"/>
      <c r="AP27" s="388"/>
      <c r="AQ27" s="339"/>
      <c r="AV27" s="11"/>
    </row>
    <row r="28" spans="1:48" ht="15" customHeight="1" x14ac:dyDescent="0.25">
      <c r="A28" s="337"/>
      <c r="B28" s="338"/>
      <c r="C28" s="338"/>
      <c r="D28" s="338"/>
      <c r="E28" s="338"/>
      <c r="F28" s="338"/>
      <c r="G28" s="338"/>
      <c r="H28" s="388"/>
      <c r="I28" s="388"/>
      <c r="J28" s="379"/>
      <c r="K28" s="388"/>
      <c r="L28" s="388"/>
      <c r="M28" s="388"/>
      <c r="N28" s="388"/>
      <c r="O28" s="388"/>
      <c r="P28" s="388"/>
      <c r="Q28" s="388"/>
      <c r="R28" s="388"/>
      <c r="S28" s="388"/>
      <c r="T28" s="388"/>
      <c r="U28" s="388"/>
      <c r="V28" s="388"/>
      <c r="W28" s="388"/>
      <c r="X28" s="339">
        <f t="shared" si="0"/>
        <v>0</v>
      </c>
      <c r="Y28" s="374" t="s">
        <v>124</v>
      </c>
      <c r="Z28" s="386">
        <v>100</v>
      </c>
      <c r="AA28" s="388"/>
      <c r="AB28" s="388"/>
      <c r="AC28" s="385"/>
      <c r="AD28" s="386">
        <f>Z28*X28/100</f>
        <v>0</v>
      </c>
      <c r="AE28" s="385"/>
      <c r="AF28" s="337"/>
      <c r="AG28" s="339"/>
      <c r="AH28" s="340">
        <f t="shared" si="3"/>
        <v>0</v>
      </c>
      <c r="AI28" s="389"/>
      <c r="AJ28" s="388"/>
      <c r="AK28" s="388"/>
      <c r="AL28" s="388"/>
      <c r="AM28" s="388"/>
      <c r="AN28" s="388"/>
      <c r="AO28" s="388"/>
      <c r="AP28" s="388"/>
      <c r="AQ28" s="339"/>
    </row>
    <row r="29" spans="1:48" ht="15" customHeight="1" x14ac:dyDescent="0.25">
      <c r="A29" s="337"/>
      <c r="B29" s="338"/>
      <c r="C29" s="338"/>
      <c r="D29" s="338"/>
      <c r="E29" s="338"/>
      <c r="F29" s="338"/>
      <c r="G29" s="338"/>
      <c r="H29" s="388"/>
      <c r="I29" s="388"/>
      <c r="J29" s="388"/>
      <c r="K29" s="379"/>
      <c r="L29" s="388"/>
      <c r="M29" s="388"/>
      <c r="N29" s="388"/>
      <c r="O29" s="388"/>
      <c r="P29" s="388"/>
      <c r="Q29" s="388"/>
      <c r="R29" s="388"/>
      <c r="S29" s="388"/>
      <c r="T29" s="388"/>
      <c r="U29" s="388"/>
      <c r="V29" s="388"/>
      <c r="W29" s="388"/>
      <c r="X29" s="339">
        <f t="shared" si="0"/>
        <v>0</v>
      </c>
      <c r="Y29" s="374" t="s">
        <v>7</v>
      </c>
      <c r="Z29" s="379">
        <v>100</v>
      </c>
      <c r="AA29" s="388"/>
      <c r="AB29" s="388"/>
      <c r="AC29" s="385"/>
      <c r="AD29" s="386">
        <f>Z29*X29/100</f>
        <v>0</v>
      </c>
      <c r="AE29" s="385"/>
      <c r="AF29" s="337"/>
      <c r="AG29" s="339"/>
      <c r="AH29" s="340">
        <f t="shared" si="3"/>
        <v>0</v>
      </c>
      <c r="AI29" s="389"/>
      <c r="AJ29" s="388"/>
      <c r="AK29" s="388"/>
      <c r="AL29" s="388"/>
      <c r="AM29" s="388"/>
      <c r="AN29" s="388"/>
      <c r="AO29" s="388"/>
      <c r="AP29" s="388"/>
      <c r="AQ29" s="339"/>
    </row>
    <row r="30" spans="1:48" ht="15" customHeight="1" x14ac:dyDescent="0.25">
      <c r="A30" s="337"/>
      <c r="B30" s="338"/>
      <c r="C30" s="338"/>
      <c r="D30" s="338"/>
      <c r="E30" s="338"/>
      <c r="F30" s="338"/>
      <c r="G30" s="338"/>
      <c r="H30" s="388"/>
      <c r="I30" s="388"/>
      <c r="J30" s="388"/>
      <c r="K30" s="388"/>
      <c r="L30" s="388"/>
      <c r="M30" s="388"/>
      <c r="N30" s="388"/>
      <c r="O30" s="388"/>
      <c r="P30" s="388"/>
      <c r="Q30" s="388"/>
      <c r="R30" s="388"/>
      <c r="S30" s="388"/>
      <c r="T30" s="388"/>
      <c r="U30" s="388"/>
      <c r="V30" s="388"/>
      <c r="W30" s="388"/>
      <c r="X30" s="339">
        <f t="shared" si="0"/>
        <v>0</v>
      </c>
      <c r="Y30" s="374" t="s">
        <v>8</v>
      </c>
      <c r="Z30" s="388">
        <v>100</v>
      </c>
      <c r="AA30" s="388"/>
      <c r="AB30" s="388"/>
      <c r="AC30" s="385"/>
      <c r="AD30" s="386">
        <f>Z30*X30/100</f>
        <v>0</v>
      </c>
      <c r="AE30" s="385"/>
      <c r="AF30" s="337"/>
      <c r="AG30" s="339"/>
      <c r="AH30" s="340">
        <f t="shared" si="3"/>
        <v>0</v>
      </c>
      <c r="AI30" s="389"/>
      <c r="AJ30" s="388"/>
      <c r="AK30" s="388"/>
      <c r="AL30" s="388"/>
      <c r="AM30" s="388"/>
      <c r="AN30" s="388"/>
      <c r="AO30" s="388"/>
      <c r="AP30" s="388"/>
      <c r="AQ30" s="339"/>
    </row>
    <row r="31" spans="1:48" s="1" customFormat="1" ht="15" customHeight="1" x14ac:dyDescent="0.25">
      <c r="A31" s="154"/>
      <c r="B31" s="338"/>
      <c r="C31" s="338"/>
      <c r="D31" s="338"/>
      <c r="E31" s="338"/>
      <c r="F31" s="338"/>
      <c r="G31" s="338"/>
      <c r="H31" s="388"/>
      <c r="I31" s="379">
        <f>-(O31+T31)*AA31%</f>
        <v>0</v>
      </c>
      <c r="J31" s="388"/>
      <c r="K31" s="388"/>
      <c r="L31" s="388"/>
      <c r="M31" s="388"/>
      <c r="N31" s="388"/>
      <c r="O31" s="388"/>
      <c r="P31" s="388"/>
      <c r="Q31" s="388"/>
      <c r="R31" s="388"/>
      <c r="S31" s="388"/>
      <c r="T31" s="388"/>
      <c r="U31" s="142"/>
      <c r="V31" s="142"/>
      <c r="W31" s="142"/>
      <c r="X31" s="339">
        <f t="shared" si="0"/>
        <v>0</v>
      </c>
      <c r="Y31" s="96" t="s">
        <v>216</v>
      </c>
      <c r="Z31" s="155"/>
      <c r="AA31" s="142">
        <v>100</v>
      </c>
      <c r="AB31" s="142"/>
      <c r="AC31" s="143"/>
      <c r="AD31" s="156"/>
      <c r="AE31" s="143"/>
      <c r="AF31" s="157"/>
      <c r="AG31" s="158"/>
      <c r="AH31" s="159"/>
      <c r="AI31" s="155"/>
      <c r="AJ31" s="142"/>
      <c r="AK31" s="142"/>
      <c r="AL31" s="142"/>
      <c r="AM31" s="142"/>
      <c r="AN31" s="142"/>
      <c r="AO31" s="142"/>
      <c r="AP31" s="142"/>
      <c r="AQ31" s="158"/>
    </row>
    <row r="32" spans="1:48" ht="15" customHeight="1" x14ac:dyDescent="0.25">
      <c r="A32" s="338"/>
      <c r="B32" s="338"/>
      <c r="C32" s="160"/>
      <c r="D32" s="160"/>
      <c r="E32" s="160"/>
      <c r="F32" s="160"/>
      <c r="G32" s="160"/>
      <c r="H32" s="161"/>
      <c r="I32" s="397"/>
      <c r="J32" s="161"/>
      <c r="K32" s="161"/>
      <c r="L32" s="161"/>
      <c r="M32" s="161"/>
      <c r="N32" s="142"/>
      <c r="O32" s="397"/>
      <c r="P32" s="161"/>
      <c r="Q32" s="161"/>
      <c r="R32" s="161"/>
      <c r="S32" s="161"/>
      <c r="T32" s="397"/>
      <c r="U32" s="161"/>
      <c r="V32" s="161"/>
      <c r="W32" s="161"/>
      <c r="X32" s="339">
        <f t="shared" si="0"/>
        <v>0</v>
      </c>
      <c r="Y32" s="96" t="s">
        <v>215</v>
      </c>
      <c r="Z32" s="381"/>
      <c r="AA32" s="142"/>
      <c r="AB32" s="142"/>
      <c r="AC32" s="143"/>
      <c r="AD32" s="386">
        <f>X32*Z32/100</f>
        <v>0</v>
      </c>
      <c r="AE32" s="385"/>
      <c r="AF32" s="386">
        <f>X32*AB32/100</f>
        <v>0</v>
      </c>
      <c r="AG32" s="385"/>
      <c r="AH32" s="340">
        <f>SUM(AI32:AQ32)</f>
        <v>0</v>
      </c>
      <c r="AI32" s="389"/>
      <c r="AJ32" s="142"/>
      <c r="AK32" s="142"/>
      <c r="AL32" s="142"/>
      <c r="AM32" s="142"/>
      <c r="AN32" s="142"/>
      <c r="AO32" s="142"/>
      <c r="AP32" s="142"/>
      <c r="AQ32" s="339"/>
    </row>
    <row r="33" spans="1:44" ht="15" customHeight="1" x14ac:dyDescent="0.25">
      <c r="A33" s="338"/>
      <c r="B33" s="338"/>
      <c r="C33" s="329">
        <f>9.3*0.9</f>
        <v>8.370000000000001</v>
      </c>
      <c r="D33" s="397"/>
      <c r="E33" s="161"/>
      <c r="F33" s="161"/>
      <c r="G33" s="161"/>
      <c r="H33" s="161"/>
      <c r="I33" s="397"/>
      <c r="J33" s="161"/>
      <c r="K33" s="161"/>
      <c r="L33" s="161"/>
      <c r="M33" s="161"/>
      <c r="N33" s="161"/>
      <c r="O33" s="330">
        <f>(7.6*46%)*0.9</f>
        <v>3.1463999999999999</v>
      </c>
      <c r="P33" s="388"/>
      <c r="Q33" s="397"/>
      <c r="R33" s="330">
        <f>1915.4*0.9</f>
        <v>1723.8600000000001</v>
      </c>
      <c r="S33" s="330">
        <f>576.7*0.9</f>
        <v>519.03000000000009</v>
      </c>
      <c r="T33" s="330">
        <f>(7.6*54%)*0.9</f>
        <v>3.6936</v>
      </c>
      <c r="U33" s="161"/>
      <c r="V33" s="161"/>
      <c r="W33" s="161"/>
      <c r="X33" s="339">
        <f t="shared" si="0"/>
        <v>2258.1000000000004</v>
      </c>
      <c r="Y33" s="374" t="s">
        <v>39</v>
      </c>
      <c r="Z33" s="381">
        <v>19.600000000000001</v>
      </c>
      <c r="AA33" s="142"/>
      <c r="AB33" s="379">
        <v>79.7</v>
      </c>
      <c r="AC33" s="385"/>
      <c r="AD33" s="386">
        <f>X33*Z33/100</f>
        <v>442.58760000000007</v>
      </c>
      <c r="AE33" s="385"/>
      <c r="AF33" s="337">
        <f>X33*AB33/100</f>
        <v>1799.7057000000004</v>
      </c>
      <c r="AG33" s="339"/>
      <c r="AH33" s="340">
        <f t="shared" si="3"/>
        <v>0</v>
      </c>
      <c r="AI33" s="389"/>
      <c r="AJ33" s="388"/>
      <c r="AK33" s="388"/>
      <c r="AL33" s="388"/>
      <c r="AM33" s="388"/>
      <c r="AN33" s="388"/>
      <c r="AO33" s="388"/>
      <c r="AP33" s="388"/>
      <c r="AQ33" s="339"/>
    </row>
    <row r="34" spans="1:44" ht="15" customHeight="1" x14ac:dyDescent="0.25">
      <c r="A34" s="338"/>
      <c r="B34" s="338"/>
      <c r="C34" s="161"/>
      <c r="D34" s="161"/>
      <c r="E34" s="161"/>
      <c r="F34" s="161"/>
      <c r="G34" s="161"/>
      <c r="H34" s="161"/>
      <c r="I34" s="161"/>
      <c r="J34" s="161"/>
      <c r="K34" s="161"/>
      <c r="L34" s="161"/>
      <c r="M34" s="161"/>
      <c r="N34" s="161"/>
      <c r="O34" s="161"/>
      <c r="P34" s="161"/>
      <c r="Q34" s="161"/>
      <c r="R34" s="161"/>
      <c r="S34" s="161"/>
      <c r="T34" s="161"/>
      <c r="U34" s="161"/>
      <c r="V34" s="161"/>
      <c r="W34" s="161"/>
      <c r="X34" s="339">
        <f t="shared" si="0"/>
        <v>0</v>
      </c>
      <c r="Y34" s="374" t="s">
        <v>40</v>
      </c>
      <c r="Z34" s="156"/>
      <c r="AA34" s="142"/>
      <c r="AB34" s="142"/>
      <c r="AC34" s="385"/>
      <c r="AD34" s="386">
        <f>X34*Z34/100</f>
        <v>0</v>
      </c>
      <c r="AE34" s="385"/>
      <c r="AF34" s="337">
        <f>X34*AB34</f>
        <v>0</v>
      </c>
      <c r="AG34" s="339"/>
      <c r="AH34" s="340">
        <f t="shared" si="3"/>
        <v>0</v>
      </c>
      <c r="AI34" s="389"/>
      <c r="AJ34" s="388"/>
      <c r="AK34" s="388"/>
      <c r="AL34" s="388"/>
      <c r="AM34" s="388"/>
      <c r="AN34" s="388"/>
      <c r="AO34" s="388"/>
      <c r="AP34" s="388"/>
      <c r="AQ34" s="339"/>
    </row>
    <row r="35" spans="1:44" ht="15" customHeight="1" x14ac:dyDescent="0.25">
      <c r="A35" s="338"/>
      <c r="B35" s="338"/>
      <c r="C35" s="161"/>
      <c r="D35" s="161"/>
      <c r="E35" s="162"/>
      <c r="F35" s="161"/>
      <c r="G35" s="161"/>
      <c r="H35" s="161"/>
      <c r="I35" s="161"/>
      <c r="J35" s="161"/>
      <c r="K35" s="161"/>
      <c r="L35" s="161"/>
      <c r="M35" s="161"/>
      <c r="N35" s="161"/>
      <c r="O35" s="161"/>
      <c r="P35" s="161"/>
      <c r="Q35" s="161"/>
      <c r="R35" s="161"/>
      <c r="S35" s="161"/>
      <c r="T35" s="161"/>
      <c r="U35" s="161"/>
      <c r="V35" s="161"/>
      <c r="W35" s="161"/>
      <c r="X35" s="339">
        <f t="shared" si="0"/>
        <v>0</v>
      </c>
      <c r="Y35" s="374" t="s">
        <v>41</v>
      </c>
      <c r="Z35" s="156"/>
      <c r="AA35" s="142"/>
      <c r="AB35" s="142"/>
      <c r="AC35" s="385"/>
      <c r="AD35" s="386">
        <f>X35*Z35/100</f>
        <v>0</v>
      </c>
      <c r="AE35" s="385"/>
      <c r="AF35" s="337">
        <f>X35*AB35</f>
        <v>0</v>
      </c>
      <c r="AG35" s="339"/>
      <c r="AH35" s="340">
        <f t="shared" si="3"/>
        <v>0</v>
      </c>
      <c r="AI35" s="389"/>
      <c r="AJ35" s="388"/>
      <c r="AK35" s="388"/>
      <c r="AL35" s="388"/>
      <c r="AM35" s="388"/>
      <c r="AN35" s="388"/>
      <c r="AO35" s="388"/>
      <c r="AP35" s="388"/>
      <c r="AQ35" s="339"/>
    </row>
    <row r="36" spans="1:44" ht="15" customHeight="1" x14ac:dyDescent="0.25">
      <c r="A36" s="338"/>
      <c r="B36" s="338"/>
      <c r="C36" s="161"/>
      <c r="D36" s="161"/>
      <c r="E36" s="330">
        <f>11.1*0.9</f>
        <v>9.99</v>
      </c>
      <c r="F36" s="161"/>
      <c r="G36" s="161"/>
      <c r="H36" s="161"/>
      <c r="I36" s="161"/>
      <c r="J36" s="161"/>
      <c r="K36" s="161"/>
      <c r="L36" s="161"/>
      <c r="M36" s="161"/>
      <c r="N36" s="161"/>
      <c r="O36" s="161"/>
      <c r="P36" s="330">
        <f>22.2*0.9</f>
        <v>19.98</v>
      </c>
      <c r="Q36" s="161"/>
      <c r="R36" s="161"/>
      <c r="S36" s="161"/>
      <c r="T36" s="161"/>
      <c r="U36" s="161"/>
      <c r="V36" s="161"/>
      <c r="W36" s="161"/>
      <c r="X36" s="339">
        <f t="shared" si="0"/>
        <v>29.97</v>
      </c>
      <c r="Y36" s="374" t="s">
        <v>42</v>
      </c>
      <c r="Z36" s="156"/>
      <c r="AA36" s="142"/>
      <c r="AB36" s="379">
        <v>89.2</v>
      </c>
      <c r="AC36" s="385"/>
      <c r="AD36" s="386"/>
      <c r="AE36" s="385"/>
      <c r="AF36" s="337">
        <f>X36*AB36/100</f>
        <v>26.733240000000002</v>
      </c>
      <c r="AG36" s="339"/>
      <c r="AH36" s="340">
        <f t="shared" si="3"/>
        <v>0</v>
      </c>
      <c r="AI36" s="389"/>
      <c r="AJ36" s="388"/>
      <c r="AK36" s="388"/>
      <c r="AL36" s="388"/>
      <c r="AM36" s="388"/>
      <c r="AN36" s="388"/>
      <c r="AO36" s="388"/>
      <c r="AP36" s="388"/>
      <c r="AQ36" s="339"/>
    </row>
    <row r="37" spans="1:44" s="1" customFormat="1" ht="15" customHeight="1" x14ac:dyDescent="0.25">
      <c r="A37" s="163"/>
      <c r="B37" s="163"/>
      <c r="C37" s="163"/>
      <c r="D37" s="142"/>
      <c r="E37" s="142"/>
      <c r="F37" s="142"/>
      <c r="G37" s="142"/>
      <c r="H37" s="142"/>
      <c r="I37" s="142"/>
      <c r="J37" s="142"/>
      <c r="K37" s="142"/>
      <c r="L37" s="142"/>
      <c r="M37" s="142"/>
      <c r="N37" s="379">
        <f>AF37-AE37</f>
        <v>0</v>
      </c>
      <c r="O37" s="142"/>
      <c r="P37" s="142"/>
      <c r="Q37" s="142"/>
      <c r="R37" s="142"/>
      <c r="S37" s="142"/>
      <c r="T37" s="142"/>
      <c r="U37" s="142"/>
      <c r="V37" s="142"/>
      <c r="W37" s="142"/>
      <c r="X37" s="339">
        <f t="shared" si="0"/>
        <v>0</v>
      </c>
      <c r="Y37" s="96" t="s">
        <v>213</v>
      </c>
      <c r="Z37" s="386"/>
      <c r="AA37" s="388"/>
      <c r="AB37" s="388"/>
      <c r="AC37" s="385"/>
      <c r="AD37" s="156">
        <f>-AE37/$D$2%</f>
        <v>0</v>
      </c>
      <c r="AE37" s="393"/>
      <c r="AF37" s="394">
        <f>AE37*AB37%</f>
        <v>0</v>
      </c>
      <c r="AG37" s="158"/>
      <c r="AH37" s="159"/>
      <c r="AI37" s="155"/>
      <c r="AJ37" s="155"/>
      <c r="AK37" s="142"/>
      <c r="AL37" s="142"/>
      <c r="AM37" s="142"/>
      <c r="AN37" s="142"/>
      <c r="AO37" s="142"/>
      <c r="AP37" s="142"/>
      <c r="AQ37" s="158"/>
    </row>
    <row r="38" spans="1:44" ht="15" customHeight="1" x14ac:dyDescent="0.25">
      <c r="A38" s="163"/>
      <c r="B38" s="163"/>
      <c r="C38" s="163"/>
      <c r="D38" s="142"/>
      <c r="E38" s="142"/>
      <c r="F38" s="142"/>
      <c r="G38" s="142"/>
      <c r="H38" s="142"/>
      <c r="I38" s="142"/>
      <c r="J38" s="142"/>
      <c r="K38" s="142"/>
      <c r="L38" s="142"/>
      <c r="M38" s="142"/>
      <c r="N38" s="142"/>
      <c r="O38" s="142"/>
      <c r="P38" s="142"/>
      <c r="Q38" s="142"/>
      <c r="R38" s="142"/>
      <c r="S38" s="142"/>
      <c r="T38" s="142"/>
      <c r="U38" s="142"/>
      <c r="V38" s="142"/>
      <c r="W38" s="142"/>
      <c r="X38" s="339">
        <f t="shared" si="0"/>
        <v>0</v>
      </c>
      <c r="Y38" s="96" t="s">
        <v>214</v>
      </c>
      <c r="Z38" s="386"/>
      <c r="AA38" s="388"/>
      <c r="AB38" s="388"/>
      <c r="AC38" s="385"/>
      <c r="AD38" s="156">
        <f>-AE38/$D$2%</f>
        <v>0</v>
      </c>
      <c r="AE38" s="385"/>
      <c r="AF38" s="386">
        <f>AE38*AB38%</f>
        <v>0</v>
      </c>
      <c r="AG38" s="158"/>
      <c r="AH38" s="159"/>
      <c r="AI38" s="155"/>
      <c r="AJ38" s="155"/>
      <c r="AK38" s="142"/>
      <c r="AL38" s="142"/>
      <c r="AM38" s="142"/>
      <c r="AN38" s="142"/>
      <c r="AO38" s="142"/>
      <c r="AP38" s="142"/>
      <c r="AQ38" s="158"/>
    </row>
    <row r="39" spans="1:44" ht="15" customHeight="1" x14ac:dyDescent="0.25">
      <c r="A39" s="338"/>
      <c r="B39" s="338"/>
      <c r="C39" s="161"/>
      <c r="D39" s="161"/>
      <c r="E39" s="161"/>
      <c r="F39" s="161"/>
      <c r="G39" s="161"/>
      <c r="H39" s="161"/>
      <c r="I39" s="161"/>
      <c r="J39" s="161"/>
      <c r="K39" s="161"/>
      <c r="L39" s="161"/>
      <c r="M39" s="161"/>
      <c r="N39" s="161"/>
      <c r="O39" s="161"/>
      <c r="P39" s="161"/>
      <c r="Q39" s="161"/>
      <c r="R39" s="161"/>
      <c r="S39" s="161"/>
      <c r="T39" s="161"/>
      <c r="U39" s="161"/>
      <c r="V39" s="161"/>
      <c r="W39" s="161"/>
      <c r="X39" s="339">
        <f t="shared" si="0"/>
        <v>0</v>
      </c>
      <c r="Y39" s="374" t="s">
        <v>63</v>
      </c>
      <c r="Z39" s="156"/>
      <c r="AA39" s="142"/>
      <c r="AB39" s="142"/>
      <c r="AC39" s="382">
        <f>100-22.83</f>
        <v>77.17</v>
      </c>
      <c r="AD39" s="386"/>
      <c r="AE39" s="385"/>
      <c r="AF39" s="337">
        <f>-SUM(AF33:AF38)</f>
        <v>-1826.4389400000005</v>
      </c>
      <c r="AG39" s="339">
        <f>-AF39*AC39/100</f>
        <v>1409.4629299980004</v>
      </c>
      <c r="AH39" s="340">
        <f>SUM(AI39:AQ39)</f>
        <v>1410.8723929279986</v>
      </c>
      <c r="AI39" s="383">
        <f>AG39*65.2%</f>
        <v>918.9698303586963</v>
      </c>
      <c r="AJ39" s="383">
        <f>AG39*9.9%</f>
        <v>139.53683006980205</v>
      </c>
      <c r="AK39" s="379">
        <f>AG39*13.3%</f>
        <v>187.45856968973405</v>
      </c>
      <c r="AL39" s="379">
        <f>AG39*7%</f>
        <v>98.662405099860038</v>
      </c>
      <c r="AM39" s="379">
        <f>AG39*0%</f>
        <v>0</v>
      </c>
      <c r="AN39" s="379">
        <f>AG39*3.2%</f>
        <v>45.102813759936012</v>
      </c>
      <c r="AO39" s="379">
        <f>AG39*1.5%</f>
        <v>21.141943949970006</v>
      </c>
      <c r="AP39" s="379"/>
      <c r="AQ39" s="339"/>
      <c r="AR39" s="19"/>
    </row>
    <row r="40" spans="1:44" ht="15" customHeight="1" x14ac:dyDescent="0.25">
      <c r="A40" s="338"/>
      <c r="B40" s="338"/>
      <c r="C40" s="161"/>
      <c r="D40" s="161"/>
      <c r="E40" s="397"/>
      <c r="F40" s="161"/>
      <c r="G40" s="161"/>
      <c r="H40" s="161"/>
      <c r="I40" s="161"/>
      <c r="J40" s="161"/>
      <c r="K40" s="161"/>
      <c r="L40" s="161"/>
      <c r="M40" s="161"/>
      <c r="N40" s="161"/>
      <c r="O40" s="397"/>
      <c r="P40" s="161"/>
      <c r="Q40" s="397"/>
      <c r="R40" s="166"/>
      <c r="S40" s="397"/>
      <c r="T40" s="397"/>
      <c r="U40" s="397"/>
      <c r="V40" s="161"/>
      <c r="W40" s="397"/>
      <c r="X40" s="339">
        <f t="shared" si="0"/>
        <v>0</v>
      </c>
      <c r="Y40" s="374" t="s">
        <v>13</v>
      </c>
      <c r="Z40" s="381"/>
      <c r="AA40" s="142"/>
      <c r="AB40" s="379"/>
      <c r="AC40" s="143"/>
      <c r="AD40" s="386">
        <f>X40*Z40/100</f>
        <v>0</v>
      </c>
      <c r="AE40" s="385"/>
      <c r="AF40" s="337">
        <f>X40*AB40/100</f>
        <v>0</v>
      </c>
      <c r="AG40" s="339"/>
      <c r="AH40" s="340">
        <f t="shared" si="3"/>
        <v>0</v>
      </c>
      <c r="AI40" s="155"/>
      <c r="AJ40" s="142"/>
      <c r="AK40" s="142"/>
      <c r="AL40" s="142"/>
      <c r="AM40" s="142"/>
      <c r="AN40" s="142"/>
      <c r="AO40" s="142"/>
      <c r="AP40" s="388"/>
      <c r="AQ40" s="339"/>
    </row>
    <row r="41" spans="1:44" ht="15" customHeight="1" x14ac:dyDescent="0.25">
      <c r="A41" s="338"/>
      <c r="B41" s="338"/>
      <c r="C41" s="161"/>
      <c r="D41" s="161"/>
      <c r="E41" s="397"/>
      <c r="F41" s="161"/>
      <c r="G41" s="161"/>
      <c r="H41" s="161"/>
      <c r="I41" s="161"/>
      <c r="J41" s="161"/>
      <c r="K41" s="161"/>
      <c r="L41" s="161"/>
      <c r="M41" s="161"/>
      <c r="N41" s="161"/>
      <c r="O41" s="161"/>
      <c r="P41" s="161"/>
      <c r="Q41" s="161"/>
      <c r="R41" s="161"/>
      <c r="S41" s="397"/>
      <c r="T41" s="161"/>
      <c r="U41" s="397"/>
      <c r="V41" s="161"/>
      <c r="W41" s="397"/>
      <c r="X41" s="339">
        <f t="shared" si="0"/>
        <v>0</v>
      </c>
      <c r="Y41" s="374" t="s">
        <v>14</v>
      </c>
      <c r="Z41" s="156"/>
      <c r="AA41" s="142"/>
      <c r="AB41" s="379"/>
      <c r="AC41" s="143"/>
      <c r="AD41" s="386">
        <f>X41*Z41/100</f>
        <v>0</v>
      </c>
      <c r="AE41" s="385"/>
      <c r="AF41" s="337">
        <f>X41*AB41/100</f>
        <v>0</v>
      </c>
      <c r="AG41" s="339"/>
      <c r="AH41" s="340">
        <f t="shared" si="3"/>
        <v>0</v>
      </c>
      <c r="AI41" s="155"/>
      <c r="AJ41" s="142"/>
      <c r="AK41" s="142"/>
      <c r="AL41" s="142"/>
      <c r="AM41" s="142"/>
      <c r="AN41" s="142"/>
      <c r="AO41" s="142"/>
      <c r="AP41" s="388"/>
      <c r="AQ41" s="339"/>
    </row>
    <row r="42" spans="1:44" ht="15" customHeight="1" x14ac:dyDescent="0.25">
      <c r="A42" s="338"/>
      <c r="B42" s="388"/>
      <c r="C42" s="161"/>
      <c r="D42" s="161"/>
      <c r="E42" s="161"/>
      <c r="F42" s="161"/>
      <c r="G42" s="161"/>
      <c r="H42" s="161"/>
      <c r="I42" s="161"/>
      <c r="J42" s="161"/>
      <c r="K42" s="161"/>
      <c r="L42" s="161"/>
      <c r="M42" s="161"/>
      <c r="N42" s="161"/>
      <c r="O42" s="161"/>
      <c r="P42" s="161"/>
      <c r="Q42" s="161"/>
      <c r="R42" s="161"/>
      <c r="S42" s="161"/>
      <c r="T42" s="161"/>
      <c r="U42" s="397"/>
      <c r="V42" s="161"/>
      <c r="W42" s="397"/>
      <c r="X42" s="339">
        <f t="shared" si="0"/>
        <v>0</v>
      </c>
      <c r="Y42" s="374" t="s">
        <v>15</v>
      </c>
      <c r="Z42" s="156"/>
      <c r="AA42" s="142"/>
      <c r="AB42" s="142"/>
      <c r="AC42" s="143"/>
      <c r="AD42" s="386">
        <f>X42*Z42/100</f>
        <v>0</v>
      </c>
      <c r="AE42" s="385"/>
      <c r="AF42" s="337">
        <f>X42*AB42/100</f>
        <v>0</v>
      </c>
      <c r="AG42" s="339"/>
      <c r="AH42" s="340">
        <f t="shared" si="3"/>
        <v>0</v>
      </c>
      <c r="AI42" s="155"/>
      <c r="AJ42" s="142"/>
      <c r="AK42" s="142"/>
      <c r="AL42" s="142"/>
      <c r="AM42" s="142"/>
      <c r="AN42" s="142"/>
      <c r="AO42" s="142"/>
      <c r="AP42" s="388"/>
      <c r="AQ42" s="339"/>
    </row>
    <row r="43" spans="1:44" ht="15" customHeight="1" x14ac:dyDescent="0.25">
      <c r="A43" s="338"/>
      <c r="B43" s="338"/>
      <c r="C43" s="161"/>
      <c r="D43" s="161"/>
      <c r="E43" s="161"/>
      <c r="F43" s="161"/>
      <c r="G43" s="161"/>
      <c r="H43" s="161"/>
      <c r="I43" s="161"/>
      <c r="J43" s="161"/>
      <c r="K43" s="161"/>
      <c r="L43" s="161"/>
      <c r="M43" s="161"/>
      <c r="N43" s="161"/>
      <c r="O43" s="161"/>
      <c r="P43" s="161"/>
      <c r="Q43" s="161"/>
      <c r="R43" s="161"/>
      <c r="S43" s="161"/>
      <c r="T43" s="161"/>
      <c r="U43" s="161"/>
      <c r="V43" s="161"/>
      <c r="W43" s="161"/>
      <c r="X43" s="339">
        <f t="shared" si="0"/>
        <v>0</v>
      </c>
      <c r="Y43" s="374" t="s">
        <v>64</v>
      </c>
      <c r="Z43" s="156"/>
      <c r="AA43" s="142"/>
      <c r="AB43" s="142"/>
      <c r="AC43" s="382">
        <f>100-22.83</f>
        <v>77.17</v>
      </c>
      <c r="AD43" s="386"/>
      <c r="AE43" s="385"/>
      <c r="AF43" s="337">
        <f>-SUM(AF40:AF42)</f>
        <v>0</v>
      </c>
      <c r="AG43" s="339">
        <f>-AF43*AC43/100</f>
        <v>0</v>
      </c>
      <c r="AH43" s="340">
        <f t="shared" si="3"/>
        <v>0</v>
      </c>
      <c r="AI43" s="383">
        <f>AG43*65.2%</f>
        <v>0</v>
      </c>
      <c r="AJ43" s="383">
        <f>AG43*9.9%</f>
        <v>0</v>
      </c>
      <c r="AK43" s="379">
        <f>AG43*13.3%</f>
        <v>0</v>
      </c>
      <c r="AL43" s="379">
        <f>AG43*7%</f>
        <v>0</v>
      </c>
      <c r="AM43" s="379">
        <f>AG43*0%</f>
        <v>0</v>
      </c>
      <c r="AN43" s="379">
        <f>AG43*3.2%</f>
        <v>0</v>
      </c>
      <c r="AO43" s="379">
        <f>AG43*1.5%</f>
        <v>0</v>
      </c>
      <c r="AP43" s="379"/>
      <c r="AQ43" s="339"/>
    </row>
    <row r="44" spans="1:44" ht="15" customHeight="1" x14ac:dyDescent="0.25">
      <c r="A44" s="338"/>
      <c r="B44" s="379"/>
      <c r="C44" s="398"/>
      <c r="D44" s="161"/>
      <c r="E44" s="398"/>
      <c r="F44" s="161"/>
      <c r="G44" s="161"/>
      <c r="H44" s="161"/>
      <c r="I44" s="397"/>
      <c r="J44" s="161"/>
      <c r="K44" s="161"/>
      <c r="L44" s="161"/>
      <c r="M44" s="161"/>
      <c r="N44" s="161"/>
      <c r="O44" s="397"/>
      <c r="P44" s="161"/>
      <c r="Q44" s="398"/>
      <c r="R44" s="397"/>
      <c r="S44" s="397"/>
      <c r="T44" s="397"/>
      <c r="U44" s="397"/>
      <c r="V44" s="161"/>
      <c r="W44" s="397"/>
      <c r="X44" s="339">
        <f t="shared" si="0"/>
        <v>0</v>
      </c>
      <c r="Y44" s="374" t="s">
        <v>43</v>
      </c>
      <c r="Z44" s="381"/>
      <c r="AA44" s="142"/>
      <c r="AB44" s="379"/>
      <c r="AC44" s="143"/>
      <c r="AD44" s="337">
        <f>X44*Z44/100</f>
        <v>0</v>
      </c>
      <c r="AE44" s="339"/>
      <c r="AF44" s="337">
        <f t="shared" ref="AF44:AF51" si="5">X44*AB44/100</f>
        <v>0</v>
      </c>
      <c r="AG44" s="339"/>
      <c r="AH44" s="340">
        <f t="shared" si="3"/>
        <v>0</v>
      </c>
      <c r="AI44" s="389"/>
      <c r="AJ44" s="388"/>
      <c r="AK44" s="388"/>
      <c r="AL44" s="388"/>
      <c r="AM44" s="388"/>
      <c r="AN44" s="388"/>
      <c r="AO44" s="388"/>
      <c r="AP44" s="388"/>
      <c r="AQ44" s="339"/>
    </row>
    <row r="45" spans="1:44" ht="15" customHeight="1" x14ac:dyDescent="0.25">
      <c r="A45" s="338"/>
      <c r="B45" s="388"/>
      <c r="C45" s="161"/>
      <c r="D45" s="161"/>
      <c r="E45" s="161"/>
      <c r="F45" s="161"/>
      <c r="G45" s="161"/>
      <c r="H45" s="161"/>
      <c r="I45" s="330">
        <f>(101.6-64.82)*0.9</f>
        <v>33.102000000000004</v>
      </c>
      <c r="J45" s="161"/>
      <c r="K45" s="161"/>
      <c r="L45" s="161"/>
      <c r="M45" s="161"/>
      <c r="N45" s="161"/>
      <c r="O45" s="397"/>
      <c r="P45" s="161"/>
      <c r="Q45" s="161"/>
      <c r="R45" s="161"/>
      <c r="S45" s="397"/>
      <c r="T45" s="397"/>
      <c r="U45" s="161"/>
      <c r="V45" s="161"/>
      <c r="W45" s="161"/>
      <c r="X45" s="339">
        <f t="shared" si="0"/>
        <v>33.102000000000004</v>
      </c>
      <c r="Y45" s="374" t="s">
        <v>44</v>
      </c>
      <c r="Z45" s="381">
        <v>39.1</v>
      </c>
      <c r="AA45" s="142"/>
      <c r="AB45" s="379">
        <v>53.4</v>
      </c>
      <c r="AC45" s="143"/>
      <c r="AD45" s="337">
        <f>X45*Z45/100</f>
        <v>12.942882000000003</v>
      </c>
      <c r="AE45" s="339"/>
      <c r="AF45" s="337">
        <f t="shared" si="5"/>
        <v>17.676468000000003</v>
      </c>
      <c r="AG45" s="339"/>
      <c r="AH45" s="340">
        <f t="shared" si="3"/>
        <v>0</v>
      </c>
      <c r="AI45" s="389"/>
      <c r="AJ45" s="388"/>
      <c r="AK45" s="388"/>
      <c r="AL45" s="388"/>
      <c r="AM45" s="388"/>
      <c r="AN45" s="388"/>
      <c r="AO45" s="388"/>
      <c r="AP45" s="388"/>
      <c r="AQ45" s="339"/>
    </row>
    <row r="46" spans="1:44" ht="15" customHeight="1" x14ac:dyDescent="0.25">
      <c r="A46" s="338"/>
      <c r="B46" s="338"/>
      <c r="C46" s="161"/>
      <c r="D46" s="161"/>
      <c r="E46" s="161"/>
      <c r="F46" s="161"/>
      <c r="G46" s="161"/>
      <c r="H46" s="161"/>
      <c r="I46" s="397"/>
      <c r="J46" s="161"/>
      <c r="K46" s="161"/>
      <c r="L46" s="161"/>
      <c r="M46" s="161"/>
      <c r="N46" s="161"/>
      <c r="O46" s="161"/>
      <c r="P46" s="161"/>
      <c r="Q46" s="161"/>
      <c r="R46" s="161"/>
      <c r="S46" s="162"/>
      <c r="T46" s="161"/>
      <c r="U46" s="161"/>
      <c r="V46" s="161"/>
      <c r="W46" s="161"/>
      <c r="X46" s="339">
        <f t="shared" si="0"/>
        <v>0</v>
      </c>
      <c r="Y46" s="374" t="s">
        <v>29</v>
      </c>
      <c r="Z46" s="381"/>
      <c r="AA46" s="142"/>
      <c r="AB46" s="379"/>
      <c r="AC46" s="143"/>
      <c r="AD46" s="337">
        <f>X46*Z46/100</f>
        <v>0</v>
      </c>
      <c r="AE46" s="339"/>
      <c r="AF46" s="337">
        <f t="shared" si="5"/>
        <v>0</v>
      </c>
      <c r="AG46" s="339"/>
      <c r="AH46" s="340">
        <f t="shared" si="3"/>
        <v>0</v>
      </c>
      <c r="AI46" s="389"/>
      <c r="AJ46" s="388"/>
      <c r="AK46" s="388"/>
      <c r="AL46" s="388"/>
      <c r="AM46" s="388"/>
      <c r="AN46" s="388"/>
      <c r="AO46" s="388"/>
      <c r="AP46" s="388"/>
      <c r="AQ46" s="339"/>
    </row>
    <row r="47" spans="1:44" ht="15" customHeight="1" x14ac:dyDescent="0.25">
      <c r="A47" s="338"/>
      <c r="B47" s="338"/>
      <c r="C47" s="161"/>
      <c r="D47" s="397"/>
      <c r="E47" s="397"/>
      <c r="F47" s="161"/>
      <c r="G47" s="161"/>
      <c r="H47" s="161"/>
      <c r="I47" s="330">
        <f>(54.3-18.6-12.338)*0.9</f>
        <v>21.025799999999997</v>
      </c>
      <c r="J47" s="161"/>
      <c r="K47" s="161"/>
      <c r="L47" s="161"/>
      <c r="M47" s="161"/>
      <c r="N47" s="161"/>
      <c r="O47" s="397"/>
      <c r="P47" s="397"/>
      <c r="Q47" s="330">
        <f>43*0.9</f>
        <v>38.700000000000003</v>
      </c>
      <c r="R47" s="397"/>
      <c r="S47" s="330">
        <f>18.9*0.9</f>
        <v>17.009999999999998</v>
      </c>
      <c r="T47" s="397"/>
      <c r="U47" s="161"/>
      <c r="V47" s="161"/>
      <c r="W47" s="161"/>
      <c r="X47" s="339">
        <f t="shared" si="0"/>
        <v>76.735799999999998</v>
      </c>
      <c r="Y47" s="374" t="s">
        <v>30</v>
      </c>
      <c r="Z47" s="156"/>
      <c r="AA47" s="142"/>
      <c r="AB47" s="379">
        <v>94.1</v>
      </c>
      <c r="AC47" s="143"/>
      <c r="AD47" s="337">
        <f>X47*Z47/100</f>
        <v>0</v>
      </c>
      <c r="AE47" s="339"/>
      <c r="AF47" s="337">
        <f t="shared" si="5"/>
        <v>72.208387799999997</v>
      </c>
      <c r="AG47" s="339"/>
      <c r="AH47" s="340">
        <f t="shared" si="3"/>
        <v>0</v>
      </c>
      <c r="AI47" s="389"/>
      <c r="AJ47" s="388"/>
      <c r="AK47" s="388"/>
      <c r="AL47" s="388"/>
      <c r="AM47" s="388"/>
      <c r="AN47" s="388"/>
      <c r="AO47" s="388"/>
      <c r="AP47" s="388"/>
      <c r="AQ47" s="339"/>
    </row>
    <row r="48" spans="1:44" s="1" customFormat="1" ht="15" customHeight="1" x14ac:dyDescent="0.25">
      <c r="A48" s="163"/>
      <c r="B48" s="163"/>
      <c r="C48" s="160"/>
      <c r="D48" s="160"/>
      <c r="E48" s="160"/>
      <c r="F48" s="160"/>
      <c r="G48" s="160"/>
      <c r="H48" s="160"/>
      <c r="I48" s="161"/>
      <c r="J48" s="161"/>
      <c r="K48" s="160"/>
      <c r="L48" s="160"/>
      <c r="M48" s="160"/>
      <c r="N48" s="379">
        <f>AF48-AE48</f>
        <v>25</v>
      </c>
      <c r="O48" s="161"/>
      <c r="P48" s="161"/>
      <c r="Q48" s="161"/>
      <c r="R48" s="161"/>
      <c r="S48" s="161"/>
      <c r="T48" s="161"/>
      <c r="U48" s="161"/>
      <c r="V48" s="161"/>
      <c r="W48" s="161"/>
      <c r="X48" s="339">
        <f t="shared" si="0"/>
        <v>25</v>
      </c>
      <c r="Y48" s="374" t="s">
        <v>116</v>
      </c>
      <c r="Z48" s="386"/>
      <c r="AA48" s="388"/>
      <c r="AB48" s="329">
        <v>350</v>
      </c>
      <c r="AC48" s="385"/>
      <c r="AD48" s="156">
        <f>-AE48/$D$2%</f>
        <v>-10.887316276537833</v>
      </c>
      <c r="AE48" s="403">
        <f>10</f>
        <v>10</v>
      </c>
      <c r="AF48" s="386">
        <f>AE48*AB48%</f>
        <v>35</v>
      </c>
      <c r="AG48" s="143"/>
      <c r="AH48" s="159"/>
      <c r="AI48" s="155"/>
      <c r="AJ48" s="142"/>
      <c r="AK48" s="142"/>
      <c r="AL48" s="142"/>
      <c r="AM48" s="142"/>
      <c r="AN48" s="142"/>
      <c r="AO48" s="142"/>
      <c r="AP48" s="142"/>
      <c r="AQ48" s="158"/>
    </row>
    <row r="49" spans="1:43" s="1" customFormat="1" ht="15" customHeight="1" x14ac:dyDescent="0.25">
      <c r="A49" s="163"/>
      <c r="B49" s="163"/>
      <c r="C49" s="160"/>
      <c r="D49" s="160"/>
      <c r="E49" s="160"/>
      <c r="F49" s="160"/>
      <c r="G49" s="160"/>
      <c r="H49" s="160"/>
      <c r="I49" s="161"/>
      <c r="J49" s="161"/>
      <c r="K49" s="160"/>
      <c r="L49" s="160"/>
      <c r="M49" s="160"/>
      <c r="N49" s="388"/>
      <c r="O49" s="161"/>
      <c r="P49" s="161"/>
      <c r="Q49" s="161"/>
      <c r="R49" s="161"/>
      <c r="S49" s="161"/>
      <c r="T49" s="161"/>
      <c r="U49" s="161"/>
      <c r="V49" s="161"/>
      <c r="W49" s="161"/>
      <c r="X49" s="339">
        <f t="shared" si="0"/>
        <v>0</v>
      </c>
      <c r="Y49" s="374" t="s">
        <v>117</v>
      </c>
      <c r="Z49" s="386"/>
      <c r="AA49" s="388"/>
      <c r="AB49" s="379">
        <v>100.2</v>
      </c>
      <c r="AC49" s="385"/>
      <c r="AD49" s="156">
        <f>-AE49/$D$2%</f>
        <v>-13.432770821992378</v>
      </c>
      <c r="AE49" s="403">
        <v>12.337999999999999</v>
      </c>
      <c r="AF49" s="156">
        <f>AE49*AB49%</f>
        <v>12.362675999999999</v>
      </c>
      <c r="AG49" s="143"/>
      <c r="AH49" s="159"/>
      <c r="AI49" s="155"/>
      <c r="AJ49" s="142"/>
      <c r="AK49" s="142"/>
      <c r="AL49" s="142"/>
      <c r="AM49" s="142"/>
      <c r="AN49" s="142"/>
      <c r="AO49" s="142"/>
      <c r="AP49" s="142"/>
      <c r="AQ49" s="158"/>
    </row>
    <row r="50" spans="1:43" ht="15" customHeight="1" x14ac:dyDescent="0.25">
      <c r="A50" s="338"/>
      <c r="B50" s="338"/>
      <c r="C50" s="160"/>
      <c r="D50" s="160"/>
      <c r="E50" s="160"/>
      <c r="F50" s="160"/>
      <c r="G50" s="160"/>
      <c r="H50" s="160"/>
      <c r="I50" s="160"/>
      <c r="J50" s="160"/>
      <c r="K50" s="160"/>
      <c r="L50" s="397"/>
      <c r="M50" s="160"/>
      <c r="N50" s="142"/>
      <c r="O50" s="161"/>
      <c r="P50" s="161"/>
      <c r="Q50" s="161"/>
      <c r="R50" s="161"/>
      <c r="S50" s="161"/>
      <c r="T50" s="161"/>
      <c r="U50" s="161"/>
      <c r="V50" s="161"/>
      <c r="W50" s="161"/>
      <c r="X50" s="339">
        <f t="shared" si="0"/>
        <v>0</v>
      </c>
      <c r="Y50" s="376" t="s">
        <v>36</v>
      </c>
      <c r="Z50" s="156"/>
      <c r="AA50" s="142"/>
      <c r="AB50" s="379">
        <v>100</v>
      </c>
      <c r="AC50" s="143"/>
      <c r="AD50" s="337"/>
      <c r="AE50" s="339"/>
      <c r="AF50" s="337">
        <f t="shared" si="5"/>
        <v>0</v>
      </c>
      <c r="AG50" s="339"/>
      <c r="AH50" s="340">
        <f t="shared" si="3"/>
        <v>0</v>
      </c>
      <c r="AI50" s="389"/>
      <c r="AJ50" s="388"/>
      <c r="AK50" s="388"/>
      <c r="AL50" s="388"/>
      <c r="AM50" s="388"/>
      <c r="AN50" s="388"/>
      <c r="AO50" s="388"/>
      <c r="AP50" s="388"/>
      <c r="AQ50" s="339"/>
    </row>
    <row r="51" spans="1:43" ht="15" customHeight="1" x14ac:dyDescent="0.25">
      <c r="A51" s="388"/>
      <c r="B51" s="379"/>
      <c r="C51" s="161"/>
      <c r="D51" s="161"/>
      <c r="E51" s="397"/>
      <c r="F51" s="161"/>
      <c r="G51" s="161"/>
      <c r="H51" s="161"/>
      <c r="I51" s="397"/>
      <c r="J51" s="161"/>
      <c r="K51" s="161"/>
      <c r="L51" s="161"/>
      <c r="M51" s="161"/>
      <c r="N51" s="142"/>
      <c r="O51" s="161"/>
      <c r="P51" s="161"/>
      <c r="Q51" s="161"/>
      <c r="R51" s="397"/>
      <c r="S51" s="397"/>
      <c r="T51" s="161"/>
      <c r="U51" s="397"/>
      <c r="V51" s="161"/>
      <c r="W51" s="397"/>
      <c r="X51" s="339">
        <f t="shared" si="0"/>
        <v>0</v>
      </c>
      <c r="Y51" s="374" t="s">
        <v>31</v>
      </c>
      <c r="Z51" s="381"/>
      <c r="AA51" s="142"/>
      <c r="AB51" s="379"/>
      <c r="AC51" s="143"/>
      <c r="AD51" s="337">
        <f>X51*Z51/100</f>
        <v>0</v>
      </c>
      <c r="AE51" s="339"/>
      <c r="AF51" s="337">
        <f t="shared" si="5"/>
        <v>0</v>
      </c>
      <c r="AG51" s="339"/>
      <c r="AH51" s="340">
        <f t="shared" si="3"/>
        <v>0</v>
      </c>
      <c r="AI51" s="389"/>
      <c r="AJ51" s="388"/>
      <c r="AK51" s="388"/>
      <c r="AL51" s="388"/>
      <c r="AM51" s="388"/>
      <c r="AN51" s="388"/>
      <c r="AO51" s="388"/>
      <c r="AP51" s="388"/>
      <c r="AQ51" s="339"/>
    </row>
    <row r="52" spans="1:43" ht="15" customHeight="1" x14ac:dyDescent="0.25">
      <c r="A52" s="338"/>
      <c r="B52" s="338"/>
      <c r="C52" s="160"/>
      <c r="D52" s="160"/>
      <c r="E52" s="160"/>
      <c r="F52" s="160"/>
      <c r="G52" s="160"/>
      <c r="H52" s="160"/>
      <c r="I52" s="160"/>
      <c r="J52" s="160"/>
      <c r="K52" s="160"/>
      <c r="L52" s="160"/>
      <c r="M52" s="160"/>
      <c r="N52" s="142"/>
      <c r="O52" s="161"/>
      <c r="P52" s="161"/>
      <c r="Q52" s="161"/>
      <c r="R52" s="161"/>
      <c r="S52" s="161"/>
      <c r="T52" s="161"/>
      <c r="U52" s="161"/>
      <c r="V52" s="161"/>
      <c r="W52" s="161"/>
      <c r="X52" s="339">
        <f t="shared" si="0"/>
        <v>0</v>
      </c>
      <c r="Y52" s="374" t="s">
        <v>65</v>
      </c>
      <c r="Z52" s="156"/>
      <c r="AA52" s="142"/>
      <c r="AB52" s="142"/>
      <c r="AC52" s="382">
        <f>100-22.83</f>
        <v>77.17</v>
      </c>
      <c r="AD52" s="386"/>
      <c r="AE52" s="385"/>
      <c r="AF52" s="386">
        <f>-SUM(AF44:AF51)</f>
        <v>-137.24753179999999</v>
      </c>
      <c r="AG52" s="385">
        <f>-AF52*AC52/100</f>
        <v>105.91392029005999</v>
      </c>
      <c r="AH52" s="340">
        <f t="shared" si="3"/>
        <v>106.01983421035006</v>
      </c>
      <c r="AI52" s="383">
        <f>AG52*65.2%</f>
        <v>69.055876029119119</v>
      </c>
      <c r="AJ52" s="383">
        <f>AG52*9.9%</f>
        <v>10.48547810871594</v>
      </c>
      <c r="AK52" s="379">
        <f>AG52*13.3%</f>
        <v>14.08655139857798</v>
      </c>
      <c r="AL52" s="379">
        <f>AG52*7%</f>
        <v>7.4139744203042</v>
      </c>
      <c r="AM52" s="379">
        <f>AG52*0%</f>
        <v>0</v>
      </c>
      <c r="AN52" s="379">
        <f>AG52*3.2%</f>
        <v>3.38924544928192</v>
      </c>
      <c r="AO52" s="379">
        <f>AG52*1.5%</f>
        <v>1.5887088043508999</v>
      </c>
      <c r="AP52" s="379"/>
      <c r="AQ52" s="339"/>
    </row>
    <row r="53" spans="1:43" ht="15" customHeight="1" x14ac:dyDescent="0.25">
      <c r="A53" s="338"/>
      <c r="B53" s="338"/>
      <c r="C53" s="160"/>
      <c r="D53" s="160"/>
      <c r="E53" s="397"/>
      <c r="F53" s="160"/>
      <c r="G53" s="160"/>
      <c r="H53" s="160"/>
      <c r="I53" s="397"/>
      <c r="J53" s="161"/>
      <c r="K53" s="161"/>
      <c r="L53" s="161"/>
      <c r="M53" s="161"/>
      <c r="N53" s="142"/>
      <c r="O53" s="397"/>
      <c r="P53" s="161"/>
      <c r="Q53" s="161"/>
      <c r="R53" s="161"/>
      <c r="S53" s="161"/>
      <c r="T53" s="397"/>
      <c r="U53" s="161"/>
      <c r="V53" s="330">
        <f>23.1*0.9</f>
        <v>20.790000000000003</v>
      </c>
      <c r="W53" s="161"/>
      <c r="X53" s="339">
        <f t="shared" si="0"/>
        <v>20.790000000000003</v>
      </c>
      <c r="Y53" s="374" t="s">
        <v>16</v>
      </c>
      <c r="Z53" s="381">
        <v>29.3</v>
      </c>
      <c r="AA53" s="142"/>
      <c r="AB53" s="379"/>
      <c r="AC53" s="143"/>
      <c r="AD53" s="386">
        <f>X53*Z53/100</f>
        <v>6.0914700000000002</v>
      </c>
      <c r="AE53" s="385"/>
      <c r="AF53" s="386">
        <f>X53*AB53/100</f>
        <v>0</v>
      </c>
      <c r="AG53" s="385"/>
      <c r="AH53" s="340">
        <f t="shared" ref="AH53:AH80" si="6">SUM(AI53:AQ53)</f>
        <v>0</v>
      </c>
      <c r="AI53" s="389"/>
      <c r="AJ53" s="142"/>
      <c r="AK53" s="142"/>
      <c r="AL53" s="142"/>
      <c r="AM53" s="142"/>
      <c r="AN53" s="142"/>
      <c r="AO53" s="142"/>
      <c r="AP53" s="142"/>
      <c r="AQ53" s="339"/>
    </row>
    <row r="54" spans="1:43" ht="15" customHeight="1" x14ac:dyDescent="0.25">
      <c r="A54" s="338"/>
      <c r="B54" s="338"/>
      <c r="C54" s="160"/>
      <c r="D54" s="160"/>
      <c r="E54" s="160"/>
      <c r="F54" s="160"/>
      <c r="G54" s="160"/>
      <c r="H54" s="160"/>
      <c r="I54" s="397"/>
      <c r="J54" s="161"/>
      <c r="K54" s="161"/>
      <c r="L54" s="397"/>
      <c r="M54" s="161"/>
      <c r="N54" s="142"/>
      <c r="O54" s="397"/>
      <c r="P54" s="161"/>
      <c r="Q54" s="161"/>
      <c r="R54" s="161"/>
      <c r="S54" s="397"/>
      <c r="T54" s="397"/>
      <c r="U54" s="161"/>
      <c r="V54" s="161"/>
      <c r="W54" s="161"/>
      <c r="X54" s="345">
        <f t="shared" si="0"/>
        <v>0</v>
      </c>
      <c r="Y54" s="374" t="s">
        <v>17</v>
      </c>
      <c r="Z54" s="156"/>
      <c r="AA54" s="142"/>
      <c r="AB54" s="379"/>
      <c r="AC54" s="143"/>
      <c r="AD54" s="386">
        <f>X54*Z54/100</f>
        <v>0</v>
      </c>
      <c r="AE54" s="385"/>
      <c r="AF54" s="386">
        <f>X54*AB54/100</f>
        <v>0</v>
      </c>
      <c r="AG54" s="385"/>
      <c r="AH54" s="340">
        <f t="shared" si="6"/>
        <v>0</v>
      </c>
      <c r="AI54" s="389"/>
      <c r="AJ54" s="142"/>
      <c r="AK54" s="142"/>
      <c r="AL54" s="142"/>
      <c r="AM54" s="142"/>
      <c r="AN54" s="142"/>
      <c r="AO54" s="142"/>
      <c r="AP54" s="142"/>
      <c r="AQ54" s="339"/>
    </row>
    <row r="55" spans="1:43" ht="15" customHeight="1" x14ac:dyDescent="0.25">
      <c r="A55" s="338"/>
      <c r="B55" s="338"/>
      <c r="C55" s="160"/>
      <c r="D55" s="160"/>
      <c r="E55" s="160"/>
      <c r="F55" s="160"/>
      <c r="G55" s="160"/>
      <c r="H55" s="160"/>
      <c r="I55" s="160"/>
      <c r="J55" s="160"/>
      <c r="K55" s="160"/>
      <c r="L55" s="160"/>
      <c r="M55" s="160"/>
      <c r="N55" s="142"/>
      <c r="O55" s="161"/>
      <c r="P55" s="161"/>
      <c r="Q55" s="161"/>
      <c r="R55" s="161"/>
      <c r="S55" s="161"/>
      <c r="T55" s="161"/>
      <c r="U55" s="161"/>
      <c r="V55" s="161"/>
      <c r="W55" s="161"/>
      <c r="X55" s="345">
        <f t="shared" si="0"/>
        <v>0</v>
      </c>
      <c r="Y55" s="374" t="s">
        <v>66</v>
      </c>
      <c r="Z55" s="156"/>
      <c r="AA55" s="142"/>
      <c r="AB55" s="142"/>
      <c r="AC55" s="382">
        <f>100-22.83</f>
        <v>77.17</v>
      </c>
      <c r="AD55" s="386"/>
      <c r="AE55" s="385"/>
      <c r="AF55" s="386">
        <f>-SUM(AF53:AF54)</f>
        <v>0</v>
      </c>
      <c r="AG55" s="385">
        <f>-AF55*AC55/100</f>
        <v>0</v>
      </c>
      <c r="AH55" s="340">
        <f t="shared" si="6"/>
        <v>0</v>
      </c>
      <c r="AI55" s="383">
        <f>AG55*65.2%</f>
        <v>0</v>
      </c>
      <c r="AJ55" s="383">
        <f>AG55*9.9%</f>
        <v>0</v>
      </c>
      <c r="AK55" s="379">
        <f>AG55*13.3%</f>
        <v>0</v>
      </c>
      <c r="AL55" s="379">
        <f>AG55*7%</f>
        <v>0</v>
      </c>
      <c r="AM55" s="379">
        <f>AG55*0%</f>
        <v>0</v>
      </c>
      <c r="AN55" s="379">
        <f>AG55*3.2%</f>
        <v>0</v>
      </c>
      <c r="AO55" s="379">
        <f>AG55*1.5%</f>
        <v>0</v>
      </c>
      <c r="AP55" s="379"/>
      <c r="AQ55" s="339"/>
    </row>
    <row r="56" spans="1:43" ht="15" customHeight="1" x14ac:dyDescent="0.25">
      <c r="A56" s="338"/>
      <c r="B56" s="338"/>
      <c r="C56" s="160"/>
      <c r="D56" s="397"/>
      <c r="E56" s="330">
        <f>7.5*0.9</f>
        <v>6.75</v>
      </c>
      <c r="F56" s="160"/>
      <c r="G56" s="160"/>
      <c r="H56" s="160"/>
      <c r="I56" s="330">
        <f>(18.6-11.16)*0.9</f>
        <v>6.6960000000000015</v>
      </c>
      <c r="J56" s="160"/>
      <c r="K56" s="160"/>
      <c r="L56" s="160"/>
      <c r="M56" s="160"/>
      <c r="N56" s="142"/>
      <c r="O56" s="397"/>
      <c r="P56" s="397"/>
      <c r="Q56" s="330">
        <f>59.3*0.9</f>
        <v>53.37</v>
      </c>
      <c r="R56" s="397"/>
      <c r="S56" s="397"/>
      <c r="T56" s="397"/>
      <c r="U56" s="161"/>
      <c r="V56" s="161"/>
      <c r="W56" s="161"/>
      <c r="X56" s="345">
        <f t="shared" si="0"/>
        <v>66.816000000000003</v>
      </c>
      <c r="Y56" s="374" t="s">
        <v>28</v>
      </c>
      <c r="Z56" s="156"/>
      <c r="AA56" s="142"/>
      <c r="AB56" s="379">
        <v>89.9</v>
      </c>
      <c r="AC56" s="143"/>
      <c r="AD56" s="386"/>
      <c r="AE56" s="385"/>
      <c r="AF56" s="386">
        <f>X56*AB56/100</f>
        <v>60.067584000000004</v>
      </c>
      <c r="AG56" s="385"/>
      <c r="AH56" s="340">
        <f t="shared" si="6"/>
        <v>0</v>
      </c>
      <c r="AI56" s="389"/>
      <c r="AJ56" s="388"/>
      <c r="AK56" s="388"/>
      <c r="AL56" s="388"/>
      <c r="AM56" s="388"/>
      <c r="AN56" s="388"/>
      <c r="AO56" s="388"/>
      <c r="AP56" s="388"/>
      <c r="AQ56" s="339"/>
    </row>
    <row r="57" spans="1:43" ht="15" customHeight="1" x14ac:dyDescent="0.25">
      <c r="A57" s="338"/>
      <c r="B57" s="338"/>
      <c r="C57" s="375"/>
      <c r="D57" s="375"/>
      <c r="E57" s="375"/>
      <c r="F57" s="375"/>
      <c r="G57" s="375"/>
      <c r="H57" s="375"/>
      <c r="I57" s="399"/>
      <c r="J57" s="375"/>
      <c r="K57" s="375"/>
      <c r="L57" s="375"/>
      <c r="M57" s="375"/>
      <c r="N57" s="379">
        <f>AF57-AE57</f>
        <v>0</v>
      </c>
      <c r="O57" s="399"/>
      <c r="P57" s="399"/>
      <c r="Q57" s="399"/>
      <c r="R57" s="399"/>
      <c r="S57" s="399"/>
      <c r="T57" s="399"/>
      <c r="U57" s="399"/>
      <c r="V57" s="399"/>
      <c r="W57" s="399"/>
      <c r="X57" s="345">
        <f t="shared" si="0"/>
        <v>0</v>
      </c>
      <c r="Y57" s="374" t="s">
        <v>120</v>
      </c>
      <c r="Z57" s="386"/>
      <c r="AA57" s="388"/>
      <c r="AB57" s="379"/>
      <c r="AC57" s="385"/>
      <c r="AD57" s="386">
        <f>-AE57/$D$2%</f>
        <v>0</v>
      </c>
      <c r="AE57" s="382"/>
      <c r="AF57" s="386">
        <f>AE57*AB57%</f>
        <v>0</v>
      </c>
      <c r="AG57" s="339"/>
      <c r="AH57" s="340"/>
      <c r="AI57" s="389"/>
      <c r="AJ57" s="388"/>
      <c r="AK57" s="388"/>
      <c r="AL57" s="388"/>
      <c r="AM57" s="388"/>
      <c r="AN57" s="388"/>
      <c r="AO57" s="388"/>
      <c r="AP57" s="388"/>
      <c r="AQ57" s="339"/>
    </row>
    <row r="58" spans="1:43" ht="15" customHeight="1" x14ac:dyDescent="0.25">
      <c r="A58" s="388"/>
      <c r="B58" s="388"/>
      <c r="C58" s="399"/>
      <c r="D58" s="399"/>
      <c r="E58" s="399"/>
      <c r="F58" s="399"/>
      <c r="G58" s="399"/>
      <c r="H58" s="399"/>
      <c r="I58" s="399"/>
      <c r="J58" s="399"/>
      <c r="K58" s="399"/>
      <c r="L58" s="399"/>
      <c r="M58" s="399"/>
      <c r="N58" s="399"/>
      <c r="O58" s="399"/>
      <c r="P58" s="399"/>
      <c r="Q58" s="399"/>
      <c r="R58" s="399"/>
      <c r="S58" s="399"/>
      <c r="T58" s="399"/>
      <c r="U58" s="399"/>
      <c r="V58" s="399"/>
      <c r="W58" s="399"/>
      <c r="X58" s="345">
        <f t="shared" si="0"/>
        <v>0</v>
      </c>
      <c r="Y58" s="374" t="s">
        <v>118</v>
      </c>
      <c r="Z58" s="386"/>
      <c r="AA58" s="388"/>
      <c r="AB58" s="379">
        <v>100</v>
      </c>
      <c r="AC58" s="385"/>
      <c r="AD58" s="386">
        <f>-AE58/$D$2%</f>
        <v>0</v>
      </c>
      <c r="AE58" s="382"/>
      <c r="AF58" s="156">
        <f>X58*AB58/100</f>
        <v>0</v>
      </c>
      <c r="AG58" s="385"/>
      <c r="AH58" s="340"/>
      <c r="AI58" s="389"/>
      <c r="AJ58" s="388"/>
      <c r="AK58" s="388"/>
      <c r="AL58" s="388"/>
      <c r="AM58" s="388"/>
      <c r="AN58" s="388"/>
      <c r="AO58" s="388"/>
      <c r="AP58" s="388"/>
      <c r="AQ58" s="339"/>
    </row>
    <row r="59" spans="1:43" ht="15" customHeight="1" x14ac:dyDescent="0.25">
      <c r="A59" s="338"/>
      <c r="B59" s="338"/>
      <c r="C59" s="399"/>
      <c r="D59" s="399"/>
      <c r="E59" s="399"/>
      <c r="F59" s="399"/>
      <c r="G59" s="399"/>
      <c r="H59" s="399"/>
      <c r="I59" s="399"/>
      <c r="J59" s="399"/>
      <c r="K59" s="399"/>
      <c r="L59" s="399"/>
      <c r="M59" s="399"/>
      <c r="N59" s="399"/>
      <c r="O59" s="399"/>
      <c r="P59" s="399"/>
      <c r="Q59" s="399"/>
      <c r="R59" s="399"/>
      <c r="S59" s="399"/>
      <c r="T59" s="399"/>
      <c r="U59" s="399"/>
      <c r="V59" s="399"/>
      <c r="W59" s="399"/>
      <c r="X59" s="345">
        <f t="shared" si="0"/>
        <v>0</v>
      </c>
      <c r="Y59" s="374" t="s">
        <v>119</v>
      </c>
      <c r="Z59" s="386"/>
      <c r="AA59" s="388"/>
      <c r="AB59" s="388"/>
      <c r="AC59" s="385"/>
      <c r="AD59" s="386"/>
      <c r="AE59" s="385"/>
      <c r="AF59" s="386">
        <f>X59*AB59/100</f>
        <v>0</v>
      </c>
      <c r="AG59" s="385"/>
      <c r="AH59" s="340"/>
      <c r="AI59" s="389"/>
      <c r="AJ59" s="388"/>
      <c r="AK59" s="388"/>
      <c r="AL59" s="388"/>
      <c r="AM59" s="388"/>
      <c r="AN59" s="388"/>
      <c r="AO59" s="388"/>
      <c r="AP59" s="388"/>
      <c r="AQ59" s="339"/>
    </row>
    <row r="60" spans="1:43" ht="15" customHeight="1" x14ac:dyDescent="0.25">
      <c r="A60" s="338"/>
      <c r="B60" s="338"/>
      <c r="C60" s="160"/>
      <c r="D60" s="160"/>
      <c r="E60" s="160"/>
      <c r="F60" s="160"/>
      <c r="G60" s="160"/>
      <c r="H60" s="160"/>
      <c r="I60" s="170"/>
      <c r="J60" s="160"/>
      <c r="K60" s="160"/>
      <c r="L60" s="330">
        <f>21.8+ 11.16</f>
        <v>32.96</v>
      </c>
      <c r="M60" s="160"/>
      <c r="N60" s="161"/>
      <c r="O60" s="161"/>
      <c r="P60" s="161"/>
      <c r="Q60" s="161"/>
      <c r="R60" s="161"/>
      <c r="S60" s="161"/>
      <c r="T60" s="161"/>
      <c r="U60" s="161"/>
      <c r="V60" s="161"/>
      <c r="W60" s="161"/>
      <c r="X60" s="345">
        <f t="shared" si="0"/>
        <v>32.96</v>
      </c>
      <c r="Y60" s="374" t="s">
        <v>255</v>
      </c>
      <c r="Z60" s="156"/>
      <c r="AA60" s="142"/>
      <c r="AB60" s="379">
        <v>100</v>
      </c>
      <c r="AC60" s="143"/>
      <c r="AD60" s="386"/>
      <c r="AE60" s="385"/>
      <c r="AF60" s="386">
        <f>X60*AB60/100</f>
        <v>32.96</v>
      </c>
      <c r="AG60" s="385"/>
      <c r="AH60" s="340">
        <f t="shared" si="6"/>
        <v>0</v>
      </c>
      <c r="AI60" s="389"/>
      <c r="AJ60" s="388"/>
      <c r="AK60" s="388"/>
      <c r="AL60" s="388"/>
      <c r="AM60" s="388"/>
      <c r="AN60" s="388"/>
      <c r="AO60" s="388"/>
      <c r="AP60" s="388"/>
      <c r="AQ60" s="339"/>
    </row>
    <row r="61" spans="1:43" ht="15" customHeight="1" x14ac:dyDescent="0.25">
      <c r="A61" s="337"/>
      <c r="B61" s="338"/>
      <c r="C61" s="160"/>
      <c r="D61" s="160"/>
      <c r="E61" s="160"/>
      <c r="F61" s="160"/>
      <c r="G61" s="160"/>
      <c r="H61" s="160"/>
      <c r="I61" s="160"/>
      <c r="J61" s="160"/>
      <c r="K61" s="160"/>
      <c r="L61" s="160"/>
      <c r="M61" s="160"/>
      <c r="N61" s="161"/>
      <c r="O61" s="161"/>
      <c r="P61" s="161"/>
      <c r="Q61" s="161"/>
      <c r="R61" s="161"/>
      <c r="S61" s="161"/>
      <c r="T61" s="161"/>
      <c r="U61" s="161"/>
      <c r="V61" s="161"/>
      <c r="W61" s="161"/>
      <c r="X61" s="345">
        <f t="shared" si="0"/>
        <v>0</v>
      </c>
      <c r="Y61" s="374" t="s">
        <v>37</v>
      </c>
      <c r="Z61" s="156"/>
      <c r="AA61" s="142"/>
      <c r="AB61" s="142"/>
      <c r="AC61" s="143"/>
      <c r="AD61" s="386">
        <f>X61*Z61%</f>
        <v>0</v>
      </c>
      <c r="AE61" s="385"/>
      <c r="AF61" s="386">
        <f>X61*AB61%</f>
        <v>0</v>
      </c>
      <c r="AG61" s="385"/>
      <c r="AH61" s="340">
        <f t="shared" si="6"/>
        <v>0</v>
      </c>
      <c r="AI61" s="389"/>
      <c r="AJ61" s="388"/>
      <c r="AK61" s="388"/>
      <c r="AL61" s="388"/>
      <c r="AM61" s="388"/>
      <c r="AN61" s="388"/>
      <c r="AO61" s="388"/>
      <c r="AP61" s="388"/>
      <c r="AQ61" s="339"/>
    </row>
    <row r="62" spans="1:43" ht="15" customHeight="1" x14ac:dyDescent="0.25">
      <c r="A62" s="338"/>
      <c r="B62" s="338"/>
      <c r="C62" s="160"/>
      <c r="D62" s="160"/>
      <c r="E62" s="160"/>
      <c r="F62" s="160"/>
      <c r="G62" s="160"/>
      <c r="H62" s="160"/>
      <c r="I62" s="170"/>
      <c r="J62" s="160"/>
      <c r="K62" s="160"/>
      <c r="L62" s="160"/>
      <c r="M62" s="160"/>
      <c r="N62" s="161"/>
      <c r="O62" s="160"/>
      <c r="P62" s="160"/>
      <c r="Q62" s="160"/>
      <c r="R62" s="160"/>
      <c r="S62" s="160"/>
      <c r="T62" s="160"/>
      <c r="U62" s="160"/>
      <c r="V62" s="160"/>
      <c r="W62" s="160"/>
      <c r="X62" s="345">
        <f t="shared" si="0"/>
        <v>0</v>
      </c>
      <c r="Y62" s="374" t="s">
        <v>115</v>
      </c>
      <c r="Z62" s="156"/>
      <c r="AA62" s="142"/>
      <c r="AB62" s="142"/>
      <c r="AC62" s="382">
        <f>100-22.83</f>
        <v>77.17</v>
      </c>
      <c r="AD62" s="386"/>
      <c r="AE62" s="385"/>
      <c r="AF62" s="157">
        <f>-SUM(AF56:AF61)</f>
        <v>-93.027584000000004</v>
      </c>
      <c r="AG62" s="385">
        <f>-AF62*AC62/100</f>
        <v>71.789386572799998</v>
      </c>
      <c r="AH62" s="340">
        <f t="shared" si="6"/>
        <v>71.861175959372787</v>
      </c>
      <c r="AI62" s="383">
        <f>AG62*65.2%</f>
        <v>46.806680045465598</v>
      </c>
      <c r="AJ62" s="383">
        <f>AG62*9.9%</f>
        <v>7.1071492707072004</v>
      </c>
      <c r="AK62" s="379">
        <f>AG62*13.3%</f>
        <v>9.5479884141824005</v>
      </c>
      <c r="AL62" s="379">
        <f>AG62*7%</f>
        <v>5.025257060096</v>
      </c>
      <c r="AM62" s="379">
        <f>AG62*0%</f>
        <v>0</v>
      </c>
      <c r="AN62" s="379">
        <f>AG62*3.2%</f>
        <v>2.2972603703296</v>
      </c>
      <c r="AO62" s="379">
        <f>AG62*1.5%</f>
        <v>1.0768407985919999</v>
      </c>
      <c r="AP62" s="379"/>
      <c r="AQ62" s="339"/>
    </row>
    <row r="63" spans="1:43" ht="15" customHeight="1" x14ac:dyDescent="0.25">
      <c r="A63" s="338"/>
      <c r="B63" s="338"/>
      <c r="C63" s="160"/>
      <c r="D63" s="397"/>
      <c r="E63" s="160"/>
      <c r="F63" s="160"/>
      <c r="G63" s="160"/>
      <c r="H63" s="160"/>
      <c r="I63" s="161"/>
      <c r="J63" s="160"/>
      <c r="K63" s="160"/>
      <c r="L63" s="160"/>
      <c r="M63" s="160"/>
      <c r="N63" s="161"/>
      <c r="O63" s="160"/>
      <c r="P63" s="397"/>
      <c r="Q63" s="160"/>
      <c r="R63" s="160"/>
      <c r="S63" s="397"/>
      <c r="T63" s="160"/>
      <c r="U63" s="397"/>
      <c r="V63" s="160"/>
      <c r="W63" s="397"/>
      <c r="X63" s="345">
        <f t="shared" si="0"/>
        <v>0</v>
      </c>
      <c r="Y63" s="374" t="s">
        <v>20</v>
      </c>
      <c r="Z63" s="381"/>
      <c r="AA63" s="142"/>
      <c r="AB63" s="379"/>
      <c r="AC63" s="143"/>
      <c r="AD63" s="337">
        <f t="shared" ref="AD63:AD68" si="7">Z63/100*X63</f>
        <v>0</v>
      </c>
      <c r="AE63" s="339"/>
      <c r="AF63" s="337">
        <f>X63*AB63/100</f>
        <v>0</v>
      </c>
      <c r="AG63" s="339"/>
      <c r="AH63" s="340">
        <f t="shared" si="6"/>
        <v>0</v>
      </c>
      <c r="AI63" s="389"/>
      <c r="AJ63" s="388"/>
      <c r="AK63" s="388"/>
      <c r="AL63" s="388"/>
      <c r="AM63" s="388"/>
      <c r="AN63" s="388"/>
      <c r="AO63" s="388"/>
      <c r="AP63" s="388"/>
      <c r="AQ63" s="339"/>
    </row>
    <row r="64" spans="1:43" ht="15" customHeight="1" x14ac:dyDescent="0.25">
      <c r="A64" s="338"/>
      <c r="B64" s="338"/>
      <c r="C64" s="160"/>
      <c r="D64" s="160"/>
      <c r="E64" s="160"/>
      <c r="F64" s="160"/>
      <c r="G64" s="160"/>
      <c r="H64" s="160"/>
      <c r="I64" s="397"/>
      <c r="J64" s="160"/>
      <c r="K64" s="160"/>
      <c r="L64" s="160"/>
      <c r="M64" s="160"/>
      <c r="N64" s="161"/>
      <c r="O64" s="397"/>
      <c r="P64" s="161"/>
      <c r="Q64" s="161"/>
      <c r="R64" s="161"/>
      <c r="S64" s="161"/>
      <c r="T64" s="397"/>
      <c r="U64" s="160"/>
      <c r="V64" s="160"/>
      <c r="W64" s="160"/>
      <c r="X64" s="345">
        <f t="shared" si="0"/>
        <v>0</v>
      </c>
      <c r="Y64" s="374" t="s">
        <v>21</v>
      </c>
      <c r="Z64" s="381"/>
      <c r="AA64" s="142"/>
      <c r="AB64" s="379"/>
      <c r="AC64" s="143"/>
      <c r="AD64" s="337">
        <f t="shared" si="7"/>
        <v>0</v>
      </c>
      <c r="AE64" s="339"/>
      <c r="AF64" s="337">
        <f>X64*AB64/100</f>
        <v>0</v>
      </c>
      <c r="AG64" s="339"/>
      <c r="AH64" s="340">
        <f t="shared" si="6"/>
        <v>0</v>
      </c>
      <c r="AI64" s="389"/>
      <c r="AJ64" s="388"/>
      <c r="AK64" s="388"/>
      <c r="AL64" s="388"/>
      <c r="AM64" s="388"/>
      <c r="AN64" s="388"/>
      <c r="AO64" s="388"/>
      <c r="AP64" s="388"/>
      <c r="AQ64" s="339"/>
    </row>
    <row r="65" spans="1:43" ht="15" customHeight="1" x14ac:dyDescent="0.25">
      <c r="A65" s="338"/>
      <c r="B65" s="338"/>
      <c r="C65" s="160"/>
      <c r="D65" s="160"/>
      <c r="E65" s="397"/>
      <c r="F65" s="160"/>
      <c r="G65" s="160"/>
      <c r="H65" s="160"/>
      <c r="I65" s="397"/>
      <c r="J65" s="160"/>
      <c r="K65" s="160"/>
      <c r="L65" s="160"/>
      <c r="M65" s="160"/>
      <c r="N65" s="161"/>
      <c r="O65" s="160"/>
      <c r="P65" s="160"/>
      <c r="Q65" s="160"/>
      <c r="R65" s="160"/>
      <c r="S65" s="160"/>
      <c r="T65" s="160"/>
      <c r="U65" s="160"/>
      <c r="V65" s="160"/>
      <c r="W65" s="160"/>
      <c r="X65" s="345">
        <f t="shared" si="0"/>
        <v>0</v>
      </c>
      <c r="Y65" s="374" t="s">
        <v>22</v>
      </c>
      <c r="Z65" s="381"/>
      <c r="AA65" s="142"/>
      <c r="AB65" s="379"/>
      <c r="AC65" s="143"/>
      <c r="AD65" s="337">
        <f t="shared" si="7"/>
        <v>0</v>
      </c>
      <c r="AE65" s="339"/>
      <c r="AF65" s="337">
        <f>X65*AB65/100</f>
        <v>0</v>
      </c>
      <c r="AG65" s="339"/>
      <c r="AH65" s="340">
        <f t="shared" si="6"/>
        <v>0</v>
      </c>
      <c r="AI65" s="389"/>
      <c r="AJ65" s="388"/>
      <c r="AK65" s="388"/>
      <c r="AL65" s="388"/>
      <c r="AM65" s="388"/>
      <c r="AN65" s="388"/>
      <c r="AO65" s="388"/>
      <c r="AP65" s="388"/>
      <c r="AQ65" s="339"/>
    </row>
    <row r="66" spans="1:43" ht="15" customHeight="1" x14ac:dyDescent="0.25">
      <c r="A66" s="338"/>
      <c r="B66" s="338"/>
      <c r="C66" s="388"/>
      <c r="D66" s="388"/>
      <c r="E66" s="379"/>
      <c r="F66" s="388"/>
      <c r="G66" s="388"/>
      <c r="H66" s="388"/>
      <c r="I66" s="379"/>
      <c r="J66" s="338"/>
      <c r="K66" s="338"/>
      <c r="L66" s="338"/>
      <c r="M66" s="338"/>
      <c r="N66" s="388"/>
      <c r="O66" s="379"/>
      <c r="P66" s="388"/>
      <c r="Q66" s="388"/>
      <c r="R66" s="379"/>
      <c r="S66" s="379"/>
      <c r="T66" s="379"/>
      <c r="U66" s="379"/>
      <c r="V66" s="388"/>
      <c r="W66" s="379"/>
      <c r="X66" s="345">
        <f t="shared" si="0"/>
        <v>0</v>
      </c>
      <c r="Y66" s="374" t="s">
        <v>23</v>
      </c>
      <c r="Z66" s="156"/>
      <c r="AA66" s="142"/>
      <c r="AB66" s="379"/>
      <c r="AC66" s="143"/>
      <c r="AD66" s="337">
        <f t="shared" si="7"/>
        <v>0</v>
      </c>
      <c r="AE66" s="339"/>
      <c r="AF66" s="337">
        <f>X66*AB66/100</f>
        <v>0</v>
      </c>
      <c r="AG66" s="339"/>
      <c r="AH66" s="340">
        <f t="shared" si="6"/>
        <v>0</v>
      </c>
      <c r="AI66" s="389"/>
      <c r="AJ66" s="388"/>
      <c r="AK66" s="388"/>
      <c r="AL66" s="388"/>
      <c r="AM66" s="388"/>
      <c r="AN66" s="388"/>
      <c r="AO66" s="388"/>
      <c r="AP66" s="388"/>
      <c r="AQ66" s="339"/>
    </row>
    <row r="67" spans="1:43" ht="15" customHeight="1" x14ac:dyDescent="0.25">
      <c r="A67" s="338"/>
      <c r="B67" s="338"/>
      <c r="C67" s="388"/>
      <c r="D67" s="388"/>
      <c r="E67" s="388"/>
      <c r="F67" s="388"/>
      <c r="G67" s="388"/>
      <c r="H67" s="388"/>
      <c r="I67" s="388"/>
      <c r="J67" s="338"/>
      <c r="K67" s="338"/>
      <c r="L67" s="338"/>
      <c r="M67" s="338"/>
      <c r="N67" s="388"/>
      <c r="O67" s="338"/>
      <c r="P67" s="388"/>
      <c r="Q67" s="338"/>
      <c r="R67" s="338"/>
      <c r="S67" s="338"/>
      <c r="T67" s="338"/>
      <c r="U67" s="338"/>
      <c r="V67" s="388"/>
      <c r="W67" s="338"/>
      <c r="X67" s="345">
        <f t="shared" si="0"/>
        <v>0</v>
      </c>
      <c r="Y67" s="374" t="s">
        <v>24</v>
      </c>
      <c r="Z67" s="156"/>
      <c r="AA67" s="142"/>
      <c r="AB67" s="142"/>
      <c r="AC67" s="143"/>
      <c r="AD67" s="337">
        <f t="shared" si="7"/>
        <v>0</v>
      </c>
      <c r="AE67" s="339"/>
      <c r="AF67" s="337">
        <f>X67*AB67/100</f>
        <v>0</v>
      </c>
      <c r="AG67" s="339"/>
      <c r="AH67" s="340">
        <f t="shared" si="6"/>
        <v>0</v>
      </c>
      <c r="AI67" s="389"/>
      <c r="AJ67" s="388"/>
      <c r="AK67" s="388"/>
      <c r="AL67" s="388"/>
      <c r="AM67" s="388"/>
      <c r="AN67" s="388"/>
      <c r="AO67" s="388"/>
      <c r="AP67" s="388"/>
      <c r="AQ67" s="339"/>
    </row>
    <row r="68" spans="1:43" ht="15" customHeight="1" x14ac:dyDescent="0.25">
      <c r="A68" s="338"/>
      <c r="B68" s="338"/>
      <c r="C68" s="388"/>
      <c r="D68" s="388"/>
      <c r="E68" s="388"/>
      <c r="F68" s="388"/>
      <c r="G68" s="388"/>
      <c r="H68" s="388"/>
      <c r="I68" s="388"/>
      <c r="J68" s="338"/>
      <c r="K68" s="338"/>
      <c r="L68" s="338"/>
      <c r="M68" s="338"/>
      <c r="N68" s="388"/>
      <c r="O68" s="338"/>
      <c r="P68" s="388"/>
      <c r="Q68" s="338"/>
      <c r="R68" s="379"/>
      <c r="S68" s="388"/>
      <c r="T68" s="338"/>
      <c r="U68" s="338"/>
      <c r="V68" s="388"/>
      <c r="W68" s="338"/>
      <c r="X68" s="345">
        <f t="shared" si="0"/>
        <v>0</v>
      </c>
      <c r="Y68" s="374" t="s">
        <v>25</v>
      </c>
      <c r="Z68" s="156"/>
      <c r="AA68" s="142"/>
      <c r="AB68" s="142">
        <v>100</v>
      </c>
      <c r="AC68" s="143"/>
      <c r="AD68" s="337">
        <f t="shared" si="7"/>
        <v>0</v>
      </c>
      <c r="AE68" s="382"/>
      <c r="AF68" s="386"/>
      <c r="AG68" s="339"/>
      <c r="AH68" s="340">
        <f t="shared" si="6"/>
        <v>0</v>
      </c>
      <c r="AI68" s="389"/>
      <c r="AJ68" s="388"/>
      <c r="AK68" s="388"/>
      <c r="AL68" s="388"/>
      <c r="AM68" s="388"/>
      <c r="AN68" s="388"/>
      <c r="AO68" s="388"/>
      <c r="AP68" s="388"/>
      <c r="AQ68" s="339"/>
    </row>
    <row r="69" spans="1:43" ht="15" customHeight="1" x14ac:dyDescent="0.25">
      <c r="A69" s="338"/>
      <c r="B69" s="338"/>
      <c r="C69" s="338"/>
      <c r="D69" s="338"/>
      <c r="E69" s="338"/>
      <c r="F69" s="338"/>
      <c r="G69" s="338"/>
      <c r="H69" s="338"/>
      <c r="I69" s="338"/>
      <c r="J69" s="338"/>
      <c r="K69" s="338"/>
      <c r="L69" s="338"/>
      <c r="M69" s="338"/>
      <c r="N69" s="338"/>
      <c r="O69" s="338"/>
      <c r="P69" s="338"/>
      <c r="Q69" s="338"/>
      <c r="R69" s="338"/>
      <c r="S69" s="338"/>
      <c r="T69" s="338"/>
      <c r="U69" s="338"/>
      <c r="V69" s="388"/>
      <c r="W69" s="338"/>
      <c r="X69" s="345">
        <f t="shared" si="0"/>
        <v>0</v>
      </c>
      <c r="Y69" s="376" t="s">
        <v>26</v>
      </c>
      <c r="Z69" s="157"/>
      <c r="AA69" s="163"/>
      <c r="AB69" s="163"/>
      <c r="AC69" s="172"/>
      <c r="AD69" s="337">
        <f>-AE69</f>
        <v>0</v>
      </c>
      <c r="AE69" s="143">
        <f>0+0+0+0</f>
        <v>0</v>
      </c>
      <c r="AF69" s="156"/>
      <c r="AG69" s="339"/>
      <c r="AH69" s="340">
        <f t="shared" si="6"/>
        <v>0</v>
      </c>
      <c r="AI69" s="389"/>
      <c r="AJ69" s="388"/>
      <c r="AK69" s="388"/>
      <c r="AL69" s="388"/>
      <c r="AM69" s="388"/>
      <c r="AN69" s="388">
        <f>AE69</f>
        <v>0</v>
      </c>
      <c r="AO69" s="388"/>
      <c r="AP69" s="388"/>
      <c r="AQ69" s="339"/>
    </row>
    <row r="70" spans="1:43" ht="15" customHeight="1" x14ac:dyDescent="0.25">
      <c r="A70" s="338"/>
      <c r="B70" s="338"/>
      <c r="C70" s="338"/>
      <c r="D70" s="338"/>
      <c r="E70" s="338"/>
      <c r="F70" s="338"/>
      <c r="G70" s="338"/>
      <c r="H70" s="338"/>
      <c r="I70" s="338"/>
      <c r="J70" s="338"/>
      <c r="K70" s="338"/>
      <c r="L70" s="338"/>
      <c r="M70" s="338"/>
      <c r="N70" s="338"/>
      <c r="O70" s="338"/>
      <c r="P70" s="338"/>
      <c r="Q70" s="338"/>
      <c r="R70" s="338"/>
      <c r="S70" s="338"/>
      <c r="T70" s="338"/>
      <c r="U70" s="338"/>
      <c r="V70" s="338"/>
      <c r="W70" s="338"/>
      <c r="X70" s="345">
        <f t="shared" si="0"/>
        <v>0</v>
      </c>
      <c r="Y70" s="376" t="s">
        <v>27</v>
      </c>
      <c r="Z70" s="157"/>
      <c r="AA70" s="163"/>
      <c r="AB70" s="163"/>
      <c r="AC70" s="143"/>
      <c r="AD70" s="337"/>
      <c r="AE70" s="143"/>
      <c r="AF70" s="156">
        <f>0-0-0-0</f>
        <v>0</v>
      </c>
      <c r="AG70" s="350"/>
      <c r="AH70" s="340">
        <f t="shared" si="6"/>
        <v>0</v>
      </c>
      <c r="AI70" s="389"/>
      <c r="AJ70" s="388"/>
      <c r="AK70" s="388"/>
      <c r="AL70" s="388"/>
      <c r="AM70" s="388"/>
      <c r="AN70" s="388">
        <f>-AF70</f>
        <v>0</v>
      </c>
      <c r="AO70" s="388"/>
      <c r="AP70" s="388"/>
      <c r="AQ70" s="339"/>
    </row>
    <row r="71" spans="1:43" ht="15" customHeight="1" x14ac:dyDescent="0.25">
      <c r="A71" s="338"/>
      <c r="B71" s="338"/>
      <c r="C71" s="338"/>
      <c r="D71" s="338"/>
      <c r="E71" s="338"/>
      <c r="F71" s="338"/>
      <c r="G71" s="338"/>
      <c r="H71" s="338"/>
      <c r="I71" s="338"/>
      <c r="J71" s="338"/>
      <c r="K71" s="338"/>
      <c r="L71" s="338"/>
      <c r="M71" s="338"/>
      <c r="N71" s="338"/>
      <c r="O71" s="338"/>
      <c r="P71" s="388"/>
      <c r="Q71" s="338"/>
      <c r="R71" s="338"/>
      <c r="S71" s="338"/>
      <c r="T71" s="338"/>
      <c r="U71" s="338"/>
      <c r="V71" s="338"/>
      <c r="W71" s="338"/>
      <c r="X71" s="345">
        <f t="shared" si="0"/>
        <v>0</v>
      </c>
      <c r="Y71" s="374" t="s">
        <v>67</v>
      </c>
      <c r="Z71" s="157"/>
      <c r="AA71" s="163"/>
      <c r="AB71" s="163"/>
      <c r="AC71" s="382">
        <f>100-22.83</f>
        <v>77.17</v>
      </c>
      <c r="AD71" s="337"/>
      <c r="AE71" s="339"/>
      <c r="AF71" s="337">
        <f>-SUM(AF63:AF70)</f>
        <v>0</v>
      </c>
      <c r="AG71" s="339">
        <f>-AF71*AC71/100</f>
        <v>0</v>
      </c>
      <c r="AH71" s="340">
        <f t="shared" si="6"/>
        <v>0</v>
      </c>
      <c r="AI71" s="383">
        <f>AG71*65.2%</f>
        <v>0</v>
      </c>
      <c r="AJ71" s="383">
        <f>AG71*9.9%</f>
        <v>0</v>
      </c>
      <c r="AK71" s="379">
        <f>AG71*13.3%</f>
        <v>0</v>
      </c>
      <c r="AL71" s="379">
        <f>AG71*7%</f>
        <v>0</v>
      </c>
      <c r="AM71" s="379">
        <f>AG71*0%</f>
        <v>0</v>
      </c>
      <c r="AN71" s="379">
        <f>AG71*3.2%</f>
        <v>0</v>
      </c>
      <c r="AO71" s="379">
        <f>AG71*1.5%</f>
        <v>0</v>
      </c>
      <c r="AP71" s="379"/>
      <c r="AQ71" s="339"/>
    </row>
    <row r="72" spans="1:43" ht="15" customHeight="1" x14ac:dyDescent="0.25">
      <c r="A72" s="337"/>
      <c r="B72" s="338"/>
      <c r="C72" s="338"/>
      <c r="D72" s="338"/>
      <c r="E72" s="338"/>
      <c r="F72" s="142"/>
      <c r="G72" s="142"/>
      <c r="H72" s="329">
        <f>1027.7*0.2*(100%-3.1%)</f>
        <v>199.16826</v>
      </c>
      <c r="I72" s="142"/>
      <c r="J72" s="142"/>
      <c r="K72" s="142"/>
      <c r="L72" s="142"/>
      <c r="M72" s="142"/>
      <c r="N72" s="142"/>
      <c r="O72" s="142"/>
      <c r="P72" s="329">
        <f>1027.7*0.2*3.1%</f>
        <v>6.3717400000000008</v>
      </c>
      <c r="Q72" s="338"/>
      <c r="R72" s="338"/>
      <c r="S72" s="338"/>
      <c r="T72" s="338"/>
      <c r="U72" s="338"/>
      <c r="V72" s="338"/>
      <c r="W72" s="338"/>
      <c r="X72" s="345">
        <f t="shared" si="0"/>
        <v>205.54</v>
      </c>
      <c r="Y72" s="374" t="s">
        <v>68</v>
      </c>
      <c r="Z72" s="337"/>
      <c r="AA72" s="338">
        <v>20</v>
      </c>
      <c r="AB72" s="338"/>
      <c r="AC72" s="339"/>
      <c r="AD72" s="337"/>
      <c r="AE72" s="339"/>
      <c r="AF72" s="337"/>
      <c r="AG72" s="339"/>
      <c r="AH72" s="340">
        <f t="shared" si="6"/>
        <v>41.108000000000004</v>
      </c>
      <c r="AI72" s="346"/>
      <c r="AJ72" s="338"/>
      <c r="AK72" s="338"/>
      <c r="AL72" s="338"/>
      <c r="AM72" s="338"/>
      <c r="AN72" s="338"/>
      <c r="AO72" s="338"/>
      <c r="AP72" s="338"/>
      <c r="AQ72" s="339">
        <f>X72*AA72/100</f>
        <v>41.108000000000004</v>
      </c>
    </row>
    <row r="73" spans="1:43" ht="15" customHeight="1" x14ac:dyDescent="0.25">
      <c r="A73" s="337"/>
      <c r="B73" s="338"/>
      <c r="C73" s="338"/>
      <c r="D73" s="338"/>
      <c r="E73" s="338"/>
      <c r="F73" s="329">
        <f>813.1*0.2*(100%-6.7%)</f>
        <v>151.72446000000002</v>
      </c>
      <c r="G73" s="142"/>
      <c r="H73" s="142"/>
      <c r="I73" s="142"/>
      <c r="J73" s="142"/>
      <c r="K73" s="142"/>
      <c r="L73" s="142"/>
      <c r="M73" s="142"/>
      <c r="N73" s="142"/>
      <c r="O73" s="142"/>
      <c r="P73" s="329">
        <f>813.1*0.2*6.7%</f>
        <v>10.89554</v>
      </c>
      <c r="Q73" s="338"/>
      <c r="R73" s="338"/>
      <c r="S73" s="338"/>
      <c r="T73" s="338"/>
      <c r="U73" s="338"/>
      <c r="V73" s="338"/>
      <c r="W73" s="338"/>
      <c r="X73" s="345">
        <f t="shared" si="0"/>
        <v>162.62000000000003</v>
      </c>
      <c r="Y73" s="374" t="s">
        <v>69</v>
      </c>
      <c r="Z73" s="337"/>
      <c r="AA73" s="338">
        <v>25</v>
      </c>
      <c r="AB73" s="338"/>
      <c r="AC73" s="339"/>
      <c r="AD73" s="337"/>
      <c r="AE73" s="339"/>
      <c r="AF73" s="337"/>
      <c r="AG73" s="339"/>
      <c r="AH73" s="340">
        <f t="shared" si="6"/>
        <v>40.655000000000008</v>
      </c>
      <c r="AI73" s="346"/>
      <c r="AJ73" s="338"/>
      <c r="AK73" s="338"/>
      <c r="AL73" s="338"/>
      <c r="AM73" s="338"/>
      <c r="AN73" s="338"/>
      <c r="AO73" s="338"/>
      <c r="AP73" s="338"/>
      <c r="AQ73" s="339">
        <f>X73*AA73/100</f>
        <v>40.655000000000008</v>
      </c>
    </row>
    <row r="74" spans="1:43" ht="15" customHeight="1" x14ac:dyDescent="0.25">
      <c r="A74" s="337"/>
      <c r="B74" s="338"/>
      <c r="C74" s="338"/>
      <c r="D74" s="338"/>
      <c r="E74" s="338"/>
      <c r="F74" s="329">
        <f>327*0.2*(100%-6.7%)</f>
        <v>61.018200000000007</v>
      </c>
      <c r="G74" s="142"/>
      <c r="H74" s="142"/>
      <c r="I74" s="142"/>
      <c r="J74" s="142"/>
      <c r="K74" s="142"/>
      <c r="L74" s="142"/>
      <c r="M74" s="142"/>
      <c r="N74" s="142"/>
      <c r="O74" s="142"/>
      <c r="P74" s="329">
        <f>327*0.2*6.7%</f>
        <v>4.381800000000001</v>
      </c>
      <c r="Q74" s="338"/>
      <c r="R74" s="338"/>
      <c r="S74" s="338"/>
      <c r="T74" s="338"/>
      <c r="U74" s="338"/>
      <c r="V74" s="338"/>
      <c r="W74" s="338"/>
      <c r="X74" s="345">
        <f t="shared" si="0"/>
        <v>65.400000000000006</v>
      </c>
      <c r="Y74" s="374" t="s">
        <v>121</v>
      </c>
      <c r="Z74" s="337"/>
      <c r="AA74" s="338">
        <v>25</v>
      </c>
      <c r="AB74" s="338"/>
      <c r="AC74" s="339"/>
      <c r="AD74" s="337"/>
      <c r="AE74" s="339"/>
      <c r="AF74" s="337"/>
      <c r="AG74" s="339"/>
      <c r="AH74" s="340">
        <f t="shared" si="6"/>
        <v>16.350000000000001</v>
      </c>
      <c r="AI74" s="346"/>
      <c r="AJ74" s="338"/>
      <c r="AK74" s="338"/>
      <c r="AL74" s="338"/>
      <c r="AM74" s="338"/>
      <c r="AN74" s="338"/>
      <c r="AO74" s="338"/>
      <c r="AP74" s="338"/>
      <c r="AQ74" s="339">
        <f>X74*AA74/100</f>
        <v>16.350000000000001</v>
      </c>
    </row>
    <row r="75" spans="1:43" ht="15" customHeight="1" x14ac:dyDescent="0.25">
      <c r="A75" s="337"/>
      <c r="B75" s="338"/>
      <c r="C75" s="338"/>
      <c r="D75" s="338"/>
      <c r="E75" s="338"/>
      <c r="F75" s="329">
        <f>112.7*1.2*(100%-6.7%)</f>
        <v>126.17892000000002</v>
      </c>
      <c r="G75" s="142"/>
      <c r="H75" s="142"/>
      <c r="I75" s="142"/>
      <c r="J75" s="142"/>
      <c r="K75" s="142"/>
      <c r="L75" s="142"/>
      <c r="M75" s="142"/>
      <c r="N75" s="142"/>
      <c r="O75" s="142"/>
      <c r="P75" s="329">
        <f>112.7*1.2*6.7%</f>
        <v>9.0610800000000005</v>
      </c>
      <c r="Q75" s="338"/>
      <c r="R75" s="338"/>
      <c r="S75" s="338"/>
      <c r="T75" s="338"/>
      <c r="U75" s="338"/>
      <c r="V75" s="338"/>
      <c r="W75" s="338"/>
      <c r="X75" s="345">
        <f t="shared" si="0"/>
        <v>135.24</v>
      </c>
      <c r="Y75" s="374" t="s">
        <v>9</v>
      </c>
      <c r="Z75" s="337"/>
      <c r="AA75" s="338">
        <v>33</v>
      </c>
      <c r="AB75" s="338"/>
      <c r="AC75" s="339"/>
      <c r="AD75" s="337"/>
      <c r="AE75" s="339"/>
      <c r="AF75" s="337"/>
      <c r="AG75" s="339"/>
      <c r="AH75" s="340">
        <f t="shared" si="6"/>
        <v>44.629199999999997</v>
      </c>
      <c r="AI75" s="346"/>
      <c r="AJ75" s="338"/>
      <c r="AK75" s="338"/>
      <c r="AL75" s="338"/>
      <c r="AM75" s="338"/>
      <c r="AN75" s="338"/>
      <c r="AO75" s="338"/>
      <c r="AP75" s="338"/>
      <c r="AQ75" s="339">
        <f>X75*AA75/100</f>
        <v>44.629199999999997</v>
      </c>
    </row>
    <row r="76" spans="1:43" ht="15" customHeight="1" x14ac:dyDescent="0.25">
      <c r="A76" s="337"/>
      <c r="B76" s="338"/>
      <c r="C76" s="338"/>
      <c r="D76" s="338"/>
      <c r="E76" s="338"/>
      <c r="F76" s="329">
        <f>280.3*1.2*(100%-6.7%)</f>
        <v>313.82388000000003</v>
      </c>
      <c r="G76" s="142"/>
      <c r="H76" s="142"/>
      <c r="I76" s="142"/>
      <c r="J76" s="142"/>
      <c r="K76" s="142"/>
      <c r="L76" s="142"/>
      <c r="M76" s="142"/>
      <c r="N76" s="142"/>
      <c r="O76" s="142"/>
      <c r="P76" s="329">
        <f>280.3*1.2*6.7%</f>
        <v>22.536120000000004</v>
      </c>
      <c r="Q76" s="338"/>
      <c r="R76" s="338"/>
      <c r="S76" s="338"/>
      <c r="T76" s="338"/>
      <c r="U76" s="338"/>
      <c r="V76" s="338"/>
      <c r="W76" s="338"/>
      <c r="X76" s="339">
        <f>SUM(A76:W76)</f>
        <v>336.36</v>
      </c>
      <c r="Y76" s="374" t="s">
        <v>70</v>
      </c>
      <c r="Z76" s="337"/>
      <c r="AA76" s="338">
        <v>33</v>
      </c>
      <c r="AB76" s="338"/>
      <c r="AC76" s="339"/>
      <c r="AD76" s="337"/>
      <c r="AE76" s="339"/>
      <c r="AF76" s="337"/>
      <c r="AG76" s="339"/>
      <c r="AH76" s="340">
        <f t="shared" si="6"/>
        <v>110.99880000000002</v>
      </c>
      <c r="AI76" s="346"/>
      <c r="AJ76" s="338"/>
      <c r="AK76" s="338"/>
      <c r="AL76" s="338"/>
      <c r="AM76" s="338"/>
      <c r="AN76" s="338"/>
      <c r="AO76" s="338"/>
      <c r="AP76" s="338"/>
      <c r="AQ76" s="339">
        <f>X76*AA76/100</f>
        <v>110.99880000000002</v>
      </c>
    </row>
    <row r="77" spans="1:43" ht="15" customHeight="1" x14ac:dyDescent="0.25">
      <c r="A77" s="337"/>
      <c r="B77" s="338"/>
      <c r="C77" s="338"/>
      <c r="D77" s="338"/>
      <c r="E77" s="338"/>
      <c r="F77" s="379">
        <v>266.8</v>
      </c>
      <c r="G77" s="142"/>
      <c r="H77" s="142"/>
      <c r="I77" s="142"/>
      <c r="J77" s="142"/>
      <c r="K77" s="142"/>
      <c r="L77" s="142"/>
      <c r="M77" s="142"/>
      <c r="N77" s="142"/>
      <c r="O77" s="142"/>
      <c r="P77" s="142"/>
      <c r="Q77" s="338"/>
      <c r="R77" s="338"/>
      <c r="S77" s="338"/>
      <c r="T77" s="338"/>
      <c r="U77" s="338"/>
      <c r="V77" s="338"/>
      <c r="W77" s="338"/>
      <c r="X77" s="339">
        <f>SUM(A77:W77)</f>
        <v>266.8</v>
      </c>
      <c r="Y77" s="374" t="s">
        <v>10</v>
      </c>
      <c r="Z77" s="337"/>
      <c r="AA77" s="338">
        <v>33</v>
      </c>
      <c r="AB77" s="338"/>
      <c r="AC77" s="339"/>
      <c r="AD77" s="337"/>
      <c r="AE77" s="339"/>
      <c r="AF77" s="337"/>
      <c r="AG77" s="339"/>
      <c r="AH77" s="340">
        <f t="shared" si="6"/>
        <v>88.044000000000011</v>
      </c>
      <c r="AI77" s="346"/>
      <c r="AJ77" s="338"/>
      <c r="AK77" s="338"/>
      <c r="AL77" s="338"/>
      <c r="AM77" s="338"/>
      <c r="AN77" s="338"/>
      <c r="AO77" s="338"/>
      <c r="AP77" s="338">
        <f>X77*AA77%</f>
        <v>88.044000000000011</v>
      </c>
      <c r="AQ77" s="339"/>
    </row>
    <row r="78" spans="1:43" ht="15" customHeight="1" x14ac:dyDescent="0.25">
      <c r="A78" s="351"/>
      <c r="B78" s="352"/>
      <c r="C78" s="352"/>
      <c r="D78" s="395"/>
      <c r="E78" s="395"/>
      <c r="F78" s="331">
        <f>51.5*0</f>
        <v>0</v>
      </c>
      <c r="G78" s="395"/>
      <c r="H78" s="395"/>
      <c r="I78" s="395"/>
      <c r="J78" s="395"/>
      <c r="K78" s="352"/>
      <c r="L78" s="352"/>
      <c r="M78" s="352"/>
      <c r="N78" s="352"/>
      <c r="O78" s="352"/>
      <c r="P78" s="352"/>
      <c r="Q78" s="352"/>
      <c r="R78" s="352"/>
      <c r="S78" s="352"/>
      <c r="T78" s="352"/>
      <c r="U78" s="352"/>
      <c r="V78" s="352"/>
      <c r="W78" s="352"/>
      <c r="X78" s="339">
        <f>SUM(A78:W78)</f>
        <v>0</v>
      </c>
      <c r="Y78" s="377" t="s">
        <v>32</v>
      </c>
      <c r="Z78" s="351"/>
      <c r="AA78" s="338">
        <v>33</v>
      </c>
      <c r="AB78" s="352"/>
      <c r="AC78" s="354"/>
      <c r="AD78" s="337">
        <f>-AE78/$D$2%</f>
        <v>0</v>
      </c>
      <c r="AE78" s="396"/>
      <c r="AF78" s="351"/>
      <c r="AG78" s="354"/>
      <c r="AH78" s="340">
        <f t="shared" si="6"/>
        <v>0</v>
      </c>
      <c r="AI78" s="355"/>
      <c r="AJ78" s="352"/>
      <c r="AK78" s="352"/>
      <c r="AL78" s="352"/>
      <c r="AM78" s="352"/>
      <c r="AN78" s="352"/>
      <c r="AO78" s="352"/>
      <c r="AP78" s="352"/>
      <c r="AQ78" s="339">
        <f>X78*AA78/100+AE78*AA78%</f>
        <v>0</v>
      </c>
    </row>
    <row r="79" spans="1:43" ht="15" customHeight="1" x14ac:dyDescent="0.25">
      <c r="A79" s="351"/>
      <c r="B79" s="352"/>
      <c r="C79" s="352"/>
      <c r="D79" s="395"/>
      <c r="E79" s="395"/>
      <c r="F79" s="395"/>
      <c r="G79" s="331">
        <f>760.2*1.2</f>
        <v>912.24</v>
      </c>
      <c r="H79" s="329">
        <f>0.8*1.2</f>
        <v>0.96</v>
      </c>
      <c r="I79" s="395"/>
      <c r="J79" s="395"/>
      <c r="K79" s="352"/>
      <c r="L79" s="352"/>
      <c r="M79" s="352"/>
      <c r="N79" s="352"/>
      <c r="O79" s="352"/>
      <c r="P79" s="352"/>
      <c r="Q79" s="352"/>
      <c r="R79" s="352"/>
      <c r="S79" s="352"/>
      <c r="T79" s="352"/>
      <c r="U79" s="352"/>
      <c r="V79" s="352"/>
      <c r="W79" s="352"/>
      <c r="X79" s="339">
        <f>SUM(A79:W79)</f>
        <v>913.2</v>
      </c>
      <c r="Y79" s="377" t="s">
        <v>33</v>
      </c>
      <c r="Z79" s="351"/>
      <c r="AA79" s="338">
        <v>33</v>
      </c>
      <c r="AB79" s="352"/>
      <c r="AC79" s="354"/>
      <c r="AD79" s="351"/>
      <c r="AE79" s="354"/>
      <c r="AF79" s="351"/>
      <c r="AG79" s="354"/>
      <c r="AH79" s="340">
        <f t="shared" si="6"/>
        <v>301.35599999999999</v>
      </c>
      <c r="AI79" s="355"/>
      <c r="AJ79" s="352"/>
      <c r="AK79" s="352"/>
      <c r="AL79" s="352"/>
      <c r="AM79" s="352"/>
      <c r="AN79" s="352"/>
      <c r="AO79" s="352"/>
      <c r="AP79" s="352"/>
      <c r="AQ79" s="339">
        <f>X79*AA79/100</f>
        <v>301.35599999999999</v>
      </c>
    </row>
    <row r="80" spans="1:43" ht="15" customHeight="1" thickBot="1" x14ac:dyDescent="0.3">
      <c r="A80" s="351"/>
      <c r="B80" s="352"/>
      <c r="C80" s="352"/>
      <c r="D80" s="331">
        <f>0.1*0.95</f>
        <v>9.5000000000000001E-2</v>
      </c>
      <c r="E80" s="395"/>
      <c r="F80" s="331">
        <f>108.6*0.95</f>
        <v>103.16999999999999</v>
      </c>
      <c r="G80" s="395"/>
      <c r="H80" s="395"/>
      <c r="I80" s="395"/>
      <c r="J80" s="395"/>
      <c r="K80" s="352"/>
      <c r="L80" s="352"/>
      <c r="M80" s="352"/>
      <c r="N80" s="352"/>
      <c r="O80" s="352"/>
      <c r="P80" s="352"/>
      <c r="Q80" s="352"/>
      <c r="R80" s="352"/>
      <c r="S80" s="352"/>
      <c r="T80" s="352"/>
      <c r="U80" s="352"/>
      <c r="V80" s="352"/>
      <c r="W80" s="352"/>
      <c r="X80" s="354">
        <f t="shared" si="0"/>
        <v>103.26499999999999</v>
      </c>
      <c r="Y80" s="378" t="s">
        <v>11</v>
      </c>
      <c r="Z80" s="356"/>
      <c r="AA80" s="338">
        <v>33</v>
      </c>
      <c r="AB80" s="357"/>
      <c r="AC80" s="358"/>
      <c r="AD80" s="356"/>
      <c r="AE80" s="358"/>
      <c r="AF80" s="356"/>
      <c r="AG80" s="358"/>
      <c r="AH80" s="359">
        <f t="shared" si="6"/>
        <v>34.077449999999992</v>
      </c>
      <c r="AI80" s="360"/>
      <c r="AJ80" s="357"/>
      <c r="AK80" s="357"/>
      <c r="AL80" s="357"/>
      <c r="AM80" s="357"/>
      <c r="AN80" s="357"/>
      <c r="AO80" s="357"/>
      <c r="AP80" s="357"/>
      <c r="AQ80" s="339">
        <f>X80*AA80/100</f>
        <v>34.077449999999992</v>
      </c>
    </row>
    <row r="81" spans="1:44" ht="15" customHeight="1" thickBot="1" x14ac:dyDescent="0.3">
      <c r="A81" s="361">
        <f t="shared" ref="A81:W81" si="8">SUM(A8:A80)</f>
        <v>382.89561361760877</v>
      </c>
      <c r="B81" s="362">
        <f t="shared" si="8"/>
        <v>43</v>
      </c>
      <c r="C81" s="362">
        <f t="shared" si="8"/>
        <v>8.370000000000001</v>
      </c>
      <c r="D81" s="362">
        <f t="shared" si="8"/>
        <v>9.5000000000000001E-2</v>
      </c>
      <c r="E81" s="362">
        <f t="shared" si="8"/>
        <v>37.14</v>
      </c>
      <c r="F81" s="362">
        <f t="shared" si="8"/>
        <v>1022.71546</v>
      </c>
      <c r="G81" s="362">
        <f t="shared" si="8"/>
        <v>912.24</v>
      </c>
      <c r="H81" s="362">
        <f t="shared" si="8"/>
        <v>200.12826000000001</v>
      </c>
      <c r="I81" s="362">
        <f t="shared" si="8"/>
        <v>1041.8837999999998</v>
      </c>
      <c r="J81" s="362">
        <f t="shared" si="8"/>
        <v>1489.3999999999999</v>
      </c>
      <c r="K81" s="362">
        <f t="shared" si="8"/>
        <v>0</v>
      </c>
      <c r="L81" s="362">
        <f t="shared" si="8"/>
        <v>237.26000000000002</v>
      </c>
      <c r="M81" s="362">
        <f t="shared" si="8"/>
        <v>0</v>
      </c>
      <c r="N81" s="362">
        <f t="shared" si="8"/>
        <v>273</v>
      </c>
      <c r="O81" s="362">
        <f t="shared" si="8"/>
        <v>3.1463999999999999</v>
      </c>
      <c r="P81" s="362">
        <f t="shared" si="8"/>
        <v>73.226280000000003</v>
      </c>
      <c r="Q81" s="362">
        <f t="shared" si="8"/>
        <v>171.9</v>
      </c>
      <c r="R81" s="362">
        <f t="shared" si="8"/>
        <v>2049.6600000000003</v>
      </c>
      <c r="S81" s="362">
        <f t="shared" si="8"/>
        <v>927.1400000000001</v>
      </c>
      <c r="T81" s="362">
        <f t="shared" si="8"/>
        <v>3.6936</v>
      </c>
      <c r="U81" s="362">
        <f t="shared" si="8"/>
        <v>0</v>
      </c>
      <c r="V81" s="362">
        <f t="shared" si="8"/>
        <v>20.790000000000003</v>
      </c>
      <c r="W81" s="362">
        <f t="shared" si="8"/>
        <v>0</v>
      </c>
      <c r="X81" s="363">
        <f>SUM(X8:X80)</f>
        <v>8897.6844136176078</v>
      </c>
      <c r="Y81" s="364" t="s">
        <v>2</v>
      </c>
      <c r="Z81" s="365"/>
      <c r="AA81" s="365"/>
      <c r="AB81" s="365"/>
      <c r="AC81" s="365"/>
      <c r="AD81" s="361">
        <f t="shared" ref="AD81:AQ81" si="9">SUM(AD8:AD80)</f>
        <v>6.1284310959308641E-14</v>
      </c>
      <c r="AE81" s="363">
        <f t="shared" si="9"/>
        <v>2322.8107840197736</v>
      </c>
      <c r="AF81" s="361">
        <f t="shared" si="9"/>
        <v>0</v>
      </c>
      <c r="AG81" s="363">
        <f t="shared" si="9"/>
        <v>1587.1662368608602</v>
      </c>
      <c r="AH81" s="364">
        <f t="shared" si="9"/>
        <v>5981.016651340793</v>
      </c>
      <c r="AI81" s="366">
        <f t="shared" si="9"/>
        <v>2749.9335424893707</v>
      </c>
      <c r="AJ81" s="362">
        <f t="shared" si="9"/>
        <v>284.26697438478487</v>
      </c>
      <c r="AK81" s="362">
        <f t="shared" si="9"/>
        <v>311.85927054938628</v>
      </c>
      <c r="AL81" s="362">
        <f t="shared" si="9"/>
        <v>257.82135867893527</v>
      </c>
      <c r="AM81" s="362">
        <f t="shared" si="9"/>
        <v>12.772946267896687</v>
      </c>
      <c r="AN81" s="362">
        <f t="shared" si="9"/>
        <v>1024.3978596293589</v>
      </c>
      <c r="AO81" s="362">
        <f t="shared" si="9"/>
        <v>24.832548585580721</v>
      </c>
      <c r="AP81" s="362">
        <f t="shared" si="9"/>
        <v>159.18970075547767</v>
      </c>
      <c r="AQ81" s="363">
        <f t="shared" si="9"/>
        <v>1155.94245</v>
      </c>
    </row>
    <row r="82" spans="1:44" ht="15" customHeight="1" x14ac:dyDescent="0.25">
      <c r="A82" s="342">
        <f t="shared" ref="A82:V82" si="10">A81*A89/1000</f>
        <v>0</v>
      </c>
      <c r="B82" s="344">
        <f t="shared" si="10"/>
        <v>2.7133000000000003</v>
      </c>
      <c r="C82" s="344">
        <f t="shared" si="10"/>
        <v>0.79473150000000015</v>
      </c>
      <c r="D82" s="344">
        <f t="shared" si="10"/>
        <v>7.4898000000000005E-3</v>
      </c>
      <c r="E82" s="344">
        <f t="shared" si="10"/>
        <v>2.7483599999999999</v>
      </c>
      <c r="F82" s="344">
        <f t="shared" si="10"/>
        <v>75.68094404</v>
      </c>
      <c r="G82" s="344">
        <f t="shared" si="10"/>
        <v>65.681280000000001</v>
      </c>
      <c r="H82" s="344">
        <f t="shared" si="10"/>
        <v>14.609362980000002</v>
      </c>
      <c r="I82" s="344">
        <f t="shared" si="10"/>
        <v>59.387376599999989</v>
      </c>
      <c r="J82" s="344">
        <f t="shared" si="10"/>
        <v>0</v>
      </c>
      <c r="K82" s="344">
        <f t="shared" si="10"/>
        <v>0</v>
      </c>
      <c r="L82" s="344">
        <f t="shared" si="10"/>
        <v>0</v>
      </c>
      <c r="M82" s="344">
        <f t="shared" si="10"/>
        <v>0</v>
      </c>
      <c r="N82" s="344">
        <v>0</v>
      </c>
      <c r="O82" s="344">
        <f t="shared" si="10"/>
        <v>0</v>
      </c>
      <c r="P82" s="344">
        <f t="shared" si="10"/>
        <v>0</v>
      </c>
      <c r="Q82" s="344">
        <f t="shared" si="10"/>
        <v>0</v>
      </c>
      <c r="R82" s="344">
        <f t="shared" si="10"/>
        <v>0</v>
      </c>
      <c r="S82" s="344">
        <f t="shared" si="10"/>
        <v>0</v>
      </c>
      <c r="T82" s="344">
        <f t="shared" si="10"/>
        <v>0</v>
      </c>
      <c r="U82" s="344">
        <f t="shared" si="10"/>
        <v>0</v>
      </c>
      <c r="V82" s="344">
        <f t="shared" si="10"/>
        <v>0</v>
      </c>
      <c r="W82" s="344">
        <f>W81*W89/1000</f>
        <v>0</v>
      </c>
      <c r="X82" s="345">
        <f>SUM(A82:W82)</f>
        <v>221.62284491999998</v>
      </c>
      <c r="Y82" s="21" t="s">
        <v>221</v>
      </c>
      <c r="Z82" s="217">
        <f>X82*1000/D1</f>
        <v>1.9416755293499208</v>
      </c>
      <c r="AA82" s="218" t="s">
        <v>12</v>
      </c>
      <c r="AB82" s="218"/>
      <c r="AC82" s="219"/>
      <c r="AD82" s="81"/>
      <c r="AE82" s="81"/>
      <c r="AF82" s="81"/>
      <c r="AG82" s="81"/>
      <c r="AH82" s="81"/>
      <c r="AI82" s="81"/>
      <c r="AJ82" s="81"/>
      <c r="AK82" s="81"/>
      <c r="AL82" s="81"/>
      <c r="AM82" s="81"/>
      <c r="AN82" s="81"/>
      <c r="AO82" s="81"/>
      <c r="AP82" s="81"/>
      <c r="AQ82" s="81"/>
    </row>
    <row r="83" spans="1:44" ht="15" customHeight="1" x14ac:dyDescent="0.25">
      <c r="A83" s="337"/>
      <c r="B83" s="338"/>
      <c r="C83" s="338"/>
      <c r="D83" s="338"/>
      <c r="E83" s="338"/>
      <c r="F83" s="338"/>
      <c r="G83" s="338"/>
      <c r="H83" s="338"/>
      <c r="I83" s="338"/>
      <c r="J83" s="338"/>
      <c r="K83" s="338"/>
      <c r="L83" s="338"/>
      <c r="M83" s="338"/>
      <c r="N83" s="338"/>
      <c r="O83" s="379">
        <v>263</v>
      </c>
      <c r="P83" s="379">
        <v>956</v>
      </c>
      <c r="Q83" s="379">
        <v>946</v>
      </c>
      <c r="R83" s="379">
        <v>438</v>
      </c>
      <c r="S83" s="338"/>
      <c r="T83" s="338"/>
      <c r="U83" s="338"/>
      <c r="V83" s="338"/>
      <c r="W83" s="338"/>
      <c r="X83" s="339">
        <f>SUM(A83:W83)</f>
        <v>2603</v>
      </c>
      <c r="Y83" s="108" t="s">
        <v>35</v>
      </c>
      <c r="Z83" s="220">
        <f>(SUM(J14:V14)+AD15*A87%+SUM(J19:V19)+SUM(J20:V20)+SUM(J21:V21)+SUM(J22:V22)+SUM(J25:V25)+SUM(J72:V72)+SUM(J73:V73)+SUM(J74:V74)+SUM(J75:V75)+SUM(J76:V76)+SUM(J77:V77)+SUM(J78:V78)+SUM(J79:V79)+SUM(J80:V80)+SUM(J26:V26)*(Z26%+AB26%)+SUM(J27:V27)*(Z27%+AB27%)+SUM(J28:V28)*(Z28%+AB28%)+SUM(J29:V29)*(Z29%+AB29%)+SUM(J30:V30)*(Z30%+AB30%)+SUM(J32:V32)*(Z32%+AA32%+AB32%)+SUM(J31:V31)*(AA31%)+SUM(J33:V33)*(Z33%+AB33%)+SUM(J34:V34)*(Z34%+AB34%)+SUM(J35:V35)*(Z35%+AB35%)+SUM(J36:V36)*(Z36%+AB36%)+SUM(J37:V37)+SUM(J40:V40)*(Z40%+AB40%)+SUM(J41:V41)*(Z41%+AB41%)+SUM(J42:V42)*(Z42%+AB42%)+SUM(J44:V44)*(Z44%+AB44%)+SUM(J45:V45)*(Z45%+AB45%)+SUM(J46:V46)*(Z46%+AB46%)+SUM(J47:V47)*(Z47%+AB47%)+SUM(J48:V48)+SUM(J50:V50)*(Z50%+AB50%)+SUM(J51:V51)*(Z51%+AB51%)+SUM(J53:V53)*(Z53%+AA53%+AB53%)+SUM(J54:V54)*(Z54%+AA54%+AB54%)+SUM(J56:V56)*(Z56%+AB56%)+SUM(J57:V57)+SUM(J59:V59)*(Z59%+AB59%)+SUM(J60:V60)*(Z60%+AB60%)+SUM(J61:V61)*(Z61%+AB61%)+SUM(J63:V63)*(Z63%+AB63%)+SUM(J64:V64)*(Z64%+AB64%)+SUM(J65:V65)*(Z65%+AB65%)+SUM(J66:V66)*(Z66%+AB66%)+SUM(J67:V67)*(Z67%+AB67%)+SUM(J68:V68)*(Z68%+AB68%))/(SUM(X8:X14)+SUM(X16:X25)+X32*AA32%+X53*AA53%+X54*AA54%+SUM(X72:X80)+(AG39/AC39%+AG43/AC43%+AG52/AC52%+AG55/AC55%+AG62/AC62%+AG71/AC71%)+AE81+SUM(AE8:AE14)*(1-D2%)+(-AF70))*100</f>
        <v>63.145192945955166</v>
      </c>
      <c r="AA83" s="221" t="s">
        <v>210</v>
      </c>
      <c r="AB83" s="221"/>
      <c r="AC83" s="222"/>
      <c r="AD83" s="81"/>
      <c r="AE83" s="81"/>
      <c r="AF83" s="81"/>
      <c r="AG83" s="81"/>
      <c r="AH83" s="81"/>
      <c r="AI83" s="81"/>
      <c r="AJ83" s="81"/>
      <c r="AK83" s="81"/>
      <c r="AL83" s="81"/>
      <c r="AM83" s="81"/>
      <c r="AN83" s="81"/>
      <c r="AO83" s="81"/>
      <c r="AP83" s="81"/>
      <c r="AQ83" s="81"/>
    </row>
    <row r="84" spans="1:44" ht="15" customHeight="1" thickBot="1" x14ac:dyDescent="0.3">
      <c r="A84" s="356"/>
      <c r="B84" s="357"/>
      <c r="C84" s="357"/>
      <c r="D84" s="357"/>
      <c r="E84" s="357"/>
      <c r="F84" s="357"/>
      <c r="G84" s="357"/>
      <c r="H84" s="357"/>
      <c r="I84" s="357"/>
      <c r="J84" s="357" t="str">
        <f>IF(J83&gt;0,J81/J83*100,"")</f>
        <v/>
      </c>
      <c r="K84" s="357" t="str">
        <f t="shared" ref="K84:W84" si="11">IF(K83&gt;0,K81/K83*100,"")</f>
        <v/>
      </c>
      <c r="L84" s="357" t="str">
        <f t="shared" si="11"/>
        <v/>
      </c>
      <c r="M84" s="357" t="str">
        <f t="shared" si="11"/>
        <v/>
      </c>
      <c r="N84" s="357" t="str">
        <f t="shared" si="11"/>
        <v/>
      </c>
      <c r="O84" s="357">
        <f t="shared" si="11"/>
        <v>1.1963498098859315</v>
      </c>
      <c r="P84" s="357">
        <f t="shared" si="11"/>
        <v>7.6596527196652717</v>
      </c>
      <c r="Q84" s="357">
        <f t="shared" si="11"/>
        <v>18.171247357293868</v>
      </c>
      <c r="R84" s="357">
        <f t="shared" si="11"/>
        <v>467.95890410958913</v>
      </c>
      <c r="S84" s="357" t="str">
        <f t="shared" si="11"/>
        <v/>
      </c>
      <c r="T84" s="357" t="str">
        <f t="shared" si="11"/>
        <v/>
      </c>
      <c r="U84" s="357" t="str">
        <f t="shared" si="11"/>
        <v/>
      </c>
      <c r="V84" s="357" t="str">
        <f>IF(V83&gt;0,V81/V83*100,"")</f>
        <v/>
      </c>
      <c r="W84" s="357" t="str">
        <f t="shared" si="11"/>
        <v/>
      </c>
      <c r="X84" s="358">
        <f>SUMIF(J83:W83,"&gt;0",J81:W81)/SUM(J83:W83)%</f>
        <v>88.280164425662704</v>
      </c>
      <c r="Y84" s="109" t="s">
        <v>38</v>
      </c>
      <c r="Z84" s="223"/>
      <c r="AA84" s="224"/>
      <c r="AB84" s="224"/>
      <c r="AC84" s="225"/>
      <c r="AD84" s="81"/>
      <c r="AE84" s="81"/>
      <c r="AF84" s="81"/>
      <c r="AG84" s="81"/>
      <c r="AH84" s="81"/>
      <c r="AI84" s="81"/>
      <c r="AJ84" s="81"/>
      <c r="AK84" s="81"/>
      <c r="AL84" s="81"/>
      <c r="AM84" s="81"/>
      <c r="AN84" s="81"/>
      <c r="AO84" s="81"/>
      <c r="AP84" s="81"/>
      <c r="AQ84" s="81"/>
    </row>
    <row r="85" spans="1:44" ht="15" customHeight="1" thickBot="1"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4"/>
      <c r="Z85" s="16"/>
      <c r="AA85" s="16"/>
      <c r="AB85" s="16"/>
      <c r="AC85" s="16"/>
      <c r="AD85" s="16"/>
      <c r="AE85" s="16"/>
      <c r="AF85" s="16"/>
      <c r="AG85" s="16"/>
      <c r="AH85" s="16"/>
      <c r="AI85" s="16"/>
      <c r="AJ85" s="16"/>
      <c r="AK85" s="16"/>
      <c r="AL85" s="16"/>
      <c r="AM85" s="16"/>
      <c r="AN85" s="16"/>
      <c r="AO85" s="16"/>
      <c r="AP85" s="16"/>
      <c r="AQ85" s="16"/>
    </row>
    <row r="86" spans="1:44" ht="17.25" customHeight="1" x14ac:dyDescent="0.25">
      <c r="A86" s="237" t="s">
        <v>122</v>
      </c>
      <c r="B86" s="408" t="str">
        <f t="shared" ref="B86:W86" si="12">B7</f>
        <v xml:space="preserve">  LPG og petroleum</v>
      </c>
      <c r="C86" s="408" t="str">
        <f t="shared" si="12"/>
        <v xml:space="preserve">  Kul</v>
      </c>
      <c r="D86" s="408" t="str">
        <f t="shared" si="12"/>
        <v xml:space="preserve">  Fuelolie</v>
      </c>
      <c r="E86" s="408" t="str">
        <f t="shared" si="12"/>
        <v xml:space="preserve">  Brændselsolie</v>
      </c>
      <c r="F86" s="408" t="str">
        <f t="shared" si="12"/>
        <v xml:space="preserve">  Dieselolie</v>
      </c>
      <c r="G86" s="408" t="str">
        <f t="shared" si="12"/>
        <v xml:space="preserve">  JP1</v>
      </c>
      <c r="H86" s="408" t="str">
        <f t="shared" si="12"/>
        <v xml:space="preserve">  Benzin</v>
      </c>
      <c r="I86" s="408" t="str">
        <f t="shared" si="12"/>
        <v xml:space="preserve">  Naturgas</v>
      </c>
      <c r="J86" s="408" t="str">
        <f t="shared" si="12"/>
        <v xml:space="preserve">  Vindenergi</v>
      </c>
      <c r="K86" s="408" t="str">
        <f t="shared" si="12"/>
        <v xml:space="preserve">  Vandenergi</v>
      </c>
      <c r="L86" s="408" t="str">
        <f t="shared" si="12"/>
        <v xml:space="preserve">  Solenergi</v>
      </c>
      <c r="M86" s="408" t="str">
        <f t="shared" si="12"/>
        <v xml:space="preserve">  Geotermi</v>
      </c>
      <c r="N86" s="408" t="str">
        <f t="shared" si="12"/>
        <v xml:space="preserve">  Varmekilder til varmepumper</v>
      </c>
      <c r="O86" s="408" t="str">
        <f t="shared" si="12"/>
        <v xml:space="preserve">  Husdyrsgødning</v>
      </c>
      <c r="P86" s="408" t="str">
        <f t="shared" si="12"/>
        <v xml:space="preserve">  Biobrændstof og energiafgrøder</v>
      </c>
      <c r="Q86" s="408" t="str">
        <f t="shared" si="12"/>
        <v xml:space="preserve">  Halm</v>
      </c>
      <c r="R86" s="408" t="str">
        <f t="shared" si="12"/>
        <v xml:space="preserve">  Brænde og træflis</v>
      </c>
      <c r="S86" s="408" t="str">
        <f t="shared" si="12"/>
        <v xml:space="preserve">  Træpiller og træaffald</v>
      </c>
      <c r="T86" s="408" t="str">
        <f t="shared" si="12"/>
        <v xml:space="preserve">  Organisk affald, industri</v>
      </c>
      <c r="U86" s="408" t="str">
        <f t="shared" si="12"/>
        <v xml:space="preserve">  Organisk affald, husholdninger</v>
      </c>
      <c r="V86" s="408" t="str">
        <f t="shared" si="12"/>
        <v xml:space="preserve">  Deponi, slam, renseanlæg</v>
      </c>
      <c r="W86" s="411" t="str">
        <f t="shared" si="12"/>
        <v xml:space="preserve">  Affald, ikke bionedbrydeligt</v>
      </c>
      <c r="X86" s="16"/>
      <c r="Y86" s="4"/>
      <c r="Z86" s="16"/>
      <c r="AA86" s="16"/>
      <c r="AB86" s="16"/>
      <c r="AC86" s="16"/>
      <c r="AD86" s="16"/>
      <c r="AE86" s="16"/>
      <c r="AF86" s="16"/>
      <c r="AG86" s="16"/>
      <c r="AH86" s="16"/>
      <c r="AI86" s="16"/>
      <c r="AJ86" s="16"/>
      <c r="AK86" s="16"/>
      <c r="AL86" s="16"/>
      <c r="AM86" s="16"/>
      <c r="AN86" s="16"/>
      <c r="AO86" s="16"/>
      <c r="AP86" s="16"/>
      <c r="AQ86" s="16"/>
    </row>
    <row r="87" spans="1:44" ht="21.6" x14ac:dyDescent="0.25">
      <c r="A87" s="238">
        <v>100</v>
      </c>
      <c r="B87" s="409"/>
      <c r="C87" s="409"/>
      <c r="D87" s="409"/>
      <c r="E87" s="409"/>
      <c r="F87" s="409"/>
      <c r="G87" s="409"/>
      <c r="H87" s="409"/>
      <c r="I87" s="409"/>
      <c r="J87" s="409"/>
      <c r="K87" s="409"/>
      <c r="L87" s="409"/>
      <c r="M87" s="409"/>
      <c r="N87" s="409"/>
      <c r="O87" s="409"/>
      <c r="P87" s="409"/>
      <c r="Q87" s="409"/>
      <c r="R87" s="409"/>
      <c r="S87" s="409"/>
      <c r="T87" s="409"/>
      <c r="U87" s="409"/>
      <c r="V87" s="409"/>
      <c r="W87" s="412"/>
      <c r="X87" s="16"/>
      <c r="Y87" s="4"/>
      <c r="Z87" s="16"/>
      <c r="AA87" s="16"/>
      <c r="AB87" s="16"/>
      <c r="AC87" s="16"/>
      <c r="AD87" s="16"/>
      <c r="AE87" s="16"/>
      <c r="AF87" s="16"/>
      <c r="AG87" s="16"/>
      <c r="AH87" s="16"/>
      <c r="AI87" s="16"/>
      <c r="AJ87" s="16"/>
      <c r="AK87" s="16"/>
      <c r="AL87" s="16"/>
      <c r="AM87" s="16"/>
      <c r="AN87" s="16"/>
      <c r="AO87" s="16"/>
      <c r="AP87" s="16"/>
      <c r="AQ87" s="16"/>
    </row>
    <row r="88" spans="1:44" ht="123" customHeight="1" thickBot="1" x14ac:dyDescent="0.3">
      <c r="A88" s="239" t="s">
        <v>123</v>
      </c>
      <c r="B88" s="410"/>
      <c r="C88" s="410"/>
      <c r="D88" s="410"/>
      <c r="E88" s="410"/>
      <c r="F88" s="410"/>
      <c r="G88" s="410"/>
      <c r="H88" s="410"/>
      <c r="I88" s="410"/>
      <c r="J88" s="410"/>
      <c r="K88" s="410"/>
      <c r="L88" s="410"/>
      <c r="M88" s="410"/>
      <c r="N88" s="410"/>
      <c r="O88" s="410"/>
      <c r="P88" s="410"/>
      <c r="Q88" s="410"/>
      <c r="R88" s="410"/>
      <c r="S88" s="410"/>
      <c r="T88" s="410"/>
      <c r="U88" s="410"/>
      <c r="V88" s="410"/>
      <c r="W88" s="413"/>
      <c r="X88" s="16"/>
      <c r="Y88" s="4"/>
      <c r="Z88" s="16"/>
      <c r="AA88" s="16"/>
      <c r="AB88" s="16"/>
      <c r="AC88" s="16"/>
      <c r="AD88" s="16"/>
      <c r="AE88" s="16"/>
      <c r="AF88" s="16"/>
      <c r="AG88" s="16"/>
      <c r="AH88" s="16"/>
      <c r="AI88" s="16"/>
      <c r="AJ88" s="16"/>
      <c r="AK88" s="16"/>
      <c r="AL88" s="16"/>
      <c r="AM88" s="16"/>
      <c r="AN88" s="16"/>
      <c r="AO88" s="16"/>
      <c r="AP88" s="16"/>
      <c r="AQ88" s="16"/>
    </row>
    <row r="89" spans="1:44" s="25" customFormat="1" ht="15" customHeight="1" thickBot="1" x14ac:dyDescent="0.3">
      <c r="A89" s="240">
        <v>0</v>
      </c>
      <c r="B89" s="241">
        <v>63.1</v>
      </c>
      <c r="C89" s="241">
        <v>94.95</v>
      </c>
      <c r="D89" s="241">
        <v>78.84</v>
      </c>
      <c r="E89" s="241">
        <v>74</v>
      </c>
      <c r="F89" s="241">
        <v>74</v>
      </c>
      <c r="G89" s="241">
        <v>72</v>
      </c>
      <c r="H89" s="241">
        <v>73</v>
      </c>
      <c r="I89" s="241">
        <v>57</v>
      </c>
      <c r="J89" s="241"/>
      <c r="K89" s="241"/>
      <c r="L89" s="241"/>
      <c r="M89" s="241"/>
      <c r="N89" s="242"/>
      <c r="O89" s="241"/>
      <c r="P89" s="241"/>
      <c r="Q89" s="241"/>
      <c r="R89" s="241"/>
      <c r="S89" s="241"/>
      <c r="T89" s="241"/>
      <c r="U89" s="241"/>
      <c r="V89" s="242"/>
      <c r="W89" s="242">
        <v>82.22</v>
      </c>
      <c r="X89" s="243" t="s">
        <v>222</v>
      </c>
      <c r="Y89" s="23"/>
      <c r="Z89" s="226"/>
      <c r="AA89" s="226"/>
      <c r="AB89" s="226"/>
      <c r="AC89" s="226"/>
      <c r="AD89" s="226"/>
      <c r="AE89" s="226"/>
      <c r="AF89" s="226"/>
      <c r="AG89" s="226"/>
      <c r="AH89" s="226"/>
      <c r="AI89" s="226"/>
      <c r="AJ89" s="226"/>
      <c r="AK89" s="226"/>
      <c r="AL89" s="226"/>
      <c r="AM89" s="226"/>
      <c r="AN89" s="226"/>
      <c r="AO89" s="226"/>
      <c r="AP89" s="226"/>
      <c r="AQ89" s="226"/>
    </row>
    <row r="90" spans="1:44" x14ac:dyDescent="0.25">
      <c r="A90" s="60"/>
      <c r="B90" s="60"/>
      <c r="C90" s="60"/>
      <c r="D90" s="60"/>
      <c r="E90" s="60"/>
      <c r="F90" s="60"/>
      <c r="G90" s="60"/>
      <c r="H90" s="60"/>
      <c r="I90" s="60"/>
      <c r="J90" s="60"/>
      <c r="K90" s="60"/>
      <c r="L90" s="60"/>
      <c r="M90" s="60"/>
      <c r="N90" s="60"/>
      <c r="O90" s="60"/>
      <c r="P90" s="60"/>
      <c r="Q90" s="60"/>
      <c r="R90" s="60"/>
      <c r="S90" s="60"/>
      <c r="T90" s="60"/>
      <c r="U90" s="60"/>
      <c r="V90" s="60"/>
      <c r="W90" s="60"/>
      <c r="X90" s="60"/>
      <c r="Y90" s="15"/>
      <c r="Z90" s="60"/>
      <c r="AA90" s="60"/>
      <c r="AB90" s="60"/>
      <c r="AC90" s="60"/>
      <c r="AD90" s="60"/>
      <c r="AE90" s="60"/>
      <c r="AF90" s="60"/>
      <c r="AG90" s="60"/>
      <c r="AH90" s="60"/>
      <c r="AI90" s="60"/>
      <c r="AJ90" s="60"/>
      <c r="AK90" s="60"/>
      <c r="AL90" s="60"/>
      <c r="AM90" s="60"/>
      <c r="AN90" s="60"/>
      <c r="AO90" s="60"/>
      <c r="AP90" s="60"/>
      <c r="AQ90" s="60"/>
      <c r="AR90" s="15"/>
    </row>
    <row r="91" spans="1:44" x14ac:dyDescent="0.25">
      <c r="F91" s="81"/>
      <c r="I91" s="81"/>
      <c r="P91" s="81"/>
      <c r="Y91" s="202"/>
    </row>
    <row r="92" spans="1:44" x14ac:dyDescent="0.25">
      <c r="E92" s="81"/>
      <c r="I92" s="81"/>
      <c r="Y92" s="202"/>
    </row>
    <row r="93" spans="1:44" ht="12.75" customHeight="1" x14ac:dyDescent="0.4">
      <c r="A93" s="244"/>
      <c r="F93" s="81"/>
      <c r="I93" s="16"/>
      <c r="Y93" s="15"/>
      <c r="Z93" s="349"/>
      <c r="AA93" s="372" t="s">
        <v>1</v>
      </c>
      <c r="AB93" s="349"/>
    </row>
    <row r="94" spans="1:44" x14ac:dyDescent="0.25">
      <c r="N94" s="407" t="s">
        <v>269</v>
      </c>
      <c r="O94" s="407"/>
      <c r="Y94" s="203"/>
      <c r="Z94" s="349"/>
      <c r="AA94" s="347" t="s">
        <v>137</v>
      </c>
      <c r="AB94" s="347" t="s">
        <v>274</v>
      </c>
      <c r="AC94" s="347" t="s">
        <v>277</v>
      </c>
    </row>
    <row r="95" spans="1:44" x14ac:dyDescent="0.25">
      <c r="H95" s="16"/>
      <c r="N95" s="332">
        <v>2018</v>
      </c>
      <c r="O95" s="332">
        <v>145.69999999999999</v>
      </c>
      <c r="Y95" s="4"/>
      <c r="Z95" s="349">
        <v>2018</v>
      </c>
      <c r="AA95" s="347">
        <v>206</v>
      </c>
      <c r="AB95" s="347">
        <v>203</v>
      </c>
      <c r="AC95" s="347">
        <v>82</v>
      </c>
    </row>
    <row r="96" spans="1:44" x14ac:dyDescent="0.25">
      <c r="N96" s="332">
        <v>2050</v>
      </c>
      <c r="O96" s="332">
        <v>0</v>
      </c>
      <c r="Y96" s="15"/>
      <c r="Z96" s="349">
        <v>2050</v>
      </c>
      <c r="AA96" s="347">
        <v>41</v>
      </c>
      <c r="AB96" s="347">
        <v>41</v>
      </c>
      <c r="AC96" s="347">
        <v>16</v>
      </c>
    </row>
    <row r="97" spans="14:28" x14ac:dyDescent="0.25">
      <c r="N97" s="304" t="s">
        <v>270</v>
      </c>
      <c r="O97" s="304">
        <f>(O95-O96)*0.75</f>
        <v>109.27499999999999</v>
      </c>
      <c r="Y97" s="203"/>
      <c r="Z97" s="349"/>
      <c r="AA97" s="349"/>
      <c r="AB97" s="349"/>
    </row>
    <row r="98" spans="14:28" x14ac:dyDescent="0.25">
      <c r="N98" s="367" t="s">
        <v>271</v>
      </c>
      <c r="O98" s="304">
        <f>(O95-O96)*0.25</f>
        <v>36.424999999999997</v>
      </c>
      <c r="Z98" s="336"/>
      <c r="AA98" s="336"/>
      <c r="AB98" s="336"/>
    </row>
    <row r="99" spans="14:28" x14ac:dyDescent="0.25">
      <c r="Z99" s="349" t="s">
        <v>275</v>
      </c>
      <c r="AA99" s="349"/>
      <c r="AB99" s="349">
        <f>(AA95-AA96)+(AB95-AB96)+(AC95-AC96)</f>
        <v>393</v>
      </c>
    </row>
    <row r="100" spans="14:28" x14ac:dyDescent="0.25">
      <c r="Z100" s="349" t="s">
        <v>276</v>
      </c>
      <c r="AA100" s="349"/>
      <c r="AB100" s="349">
        <f>AB99*1.3</f>
        <v>510.90000000000003</v>
      </c>
    </row>
  </sheetData>
  <mergeCells count="31">
    <mergeCell ref="AF6:AG6"/>
    <mergeCell ref="AI6:AQ6"/>
    <mergeCell ref="D1:E1"/>
    <mergeCell ref="Y1:Y2"/>
    <mergeCell ref="A6:X6"/>
    <mergeCell ref="Z6:AC6"/>
    <mergeCell ref="AD6:AE6"/>
    <mergeCell ref="Y3:Y4"/>
    <mergeCell ref="B86:B88"/>
    <mergeCell ref="C86:C88"/>
    <mergeCell ref="D86:D88"/>
    <mergeCell ref="E86:E88"/>
    <mergeCell ref="F86:F88"/>
    <mergeCell ref="G86:G88"/>
    <mergeCell ref="H86:H88"/>
    <mergeCell ref="I86:I88"/>
    <mergeCell ref="J86:J88"/>
    <mergeCell ref="K86:K88"/>
    <mergeCell ref="L86:L88"/>
    <mergeCell ref="M86:M88"/>
    <mergeCell ref="N86:N88"/>
    <mergeCell ref="O86:O88"/>
    <mergeCell ref="P86:P88"/>
    <mergeCell ref="N94:O94"/>
    <mergeCell ref="V86:V88"/>
    <mergeCell ref="W86:W88"/>
    <mergeCell ref="Q86:Q88"/>
    <mergeCell ref="R86:R88"/>
    <mergeCell ref="S86:S88"/>
    <mergeCell ref="T86:T88"/>
    <mergeCell ref="U86:U88"/>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33"/>
    <pageSetUpPr fitToPage="1"/>
  </sheetPr>
  <dimension ref="A1:AV105"/>
  <sheetViews>
    <sheetView showGridLines="0" showZeros="0" zoomScale="85" zoomScaleNormal="85" workbookViewId="0">
      <selection activeCell="W103" sqref="W103"/>
    </sheetView>
  </sheetViews>
  <sheetFormatPr defaultColWidth="9.109375" defaultRowHeight="13.2" x14ac:dyDescent="0.25"/>
  <cols>
    <col min="1" max="23" width="7.109375" style="18" customWidth="1"/>
    <col min="24" max="24" width="8.6640625" style="18" customWidth="1"/>
    <col min="25" max="25" width="59" style="6" bestFit="1" customWidth="1"/>
    <col min="26" max="29" width="5.6640625" style="18" customWidth="1"/>
    <col min="30" max="34" width="8.6640625" style="18" customWidth="1"/>
    <col min="35" max="43" width="7.109375" style="18" customWidth="1"/>
    <col min="44" max="16384" width="9.109375" style="6"/>
  </cols>
  <sheetData>
    <row r="1" spans="1:48" ht="15" customHeight="1" x14ac:dyDescent="0.25">
      <c r="A1" s="227" t="s">
        <v>48</v>
      </c>
      <c r="B1" s="228"/>
      <c r="C1" s="228"/>
      <c r="D1" s="415">
        <v>114140</v>
      </c>
      <c r="E1" s="416"/>
      <c r="F1" s="16"/>
      <c r="G1" s="16"/>
      <c r="H1" s="16"/>
      <c r="I1" s="16"/>
      <c r="K1" s="16"/>
      <c r="L1" s="16"/>
      <c r="M1" s="16"/>
      <c r="N1" s="16"/>
      <c r="O1" s="16"/>
      <c r="P1" s="16"/>
      <c r="Q1" s="16"/>
      <c r="R1" s="16"/>
      <c r="S1" s="16"/>
      <c r="T1" s="16"/>
      <c r="U1" s="16"/>
      <c r="V1" s="204"/>
      <c r="W1" s="204"/>
      <c r="X1" s="204"/>
      <c r="Y1" s="417" t="s">
        <v>73</v>
      </c>
      <c r="Z1" s="204"/>
      <c r="AA1" s="204"/>
      <c r="AB1" s="204"/>
      <c r="AC1" s="204"/>
      <c r="AD1" s="16"/>
      <c r="AE1" s="16"/>
      <c r="AF1" s="16"/>
      <c r="AG1" s="16"/>
      <c r="AH1" s="16"/>
      <c r="AI1" s="16"/>
      <c r="AJ1" s="16"/>
      <c r="AK1" s="16"/>
      <c r="AL1" s="16"/>
      <c r="AM1" s="16"/>
      <c r="AN1" s="16"/>
      <c r="AO1" s="16"/>
      <c r="AP1" s="16"/>
      <c r="AQ1" s="16"/>
    </row>
    <row r="2" spans="1:48" ht="15" customHeight="1" x14ac:dyDescent="0.3">
      <c r="A2" s="229" t="s">
        <v>50</v>
      </c>
      <c r="B2" s="16"/>
      <c r="C2" s="16"/>
      <c r="D2" s="122">
        <v>91.85</v>
      </c>
      <c r="E2" s="230" t="s">
        <v>49</v>
      </c>
      <c r="F2" s="16"/>
      <c r="G2" s="16"/>
      <c r="H2" s="124"/>
      <c r="I2" s="16"/>
      <c r="J2" s="16"/>
      <c r="K2" s="16"/>
      <c r="L2" s="16"/>
      <c r="M2" s="16"/>
      <c r="N2" s="16"/>
      <c r="O2" s="16"/>
      <c r="P2" s="16"/>
      <c r="Q2" s="16"/>
      <c r="R2" s="16"/>
      <c r="S2" s="16"/>
      <c r="T2" s="16"/>
      <c r="U2" s="16"/>
      <c r="V2" s="204"/>
      <c r="W2" s="204"/>
      <c r="X2" s="204"/>
      <c r="Y2" s="417"/>
      <c r="Z2" s="204"/>
      <c r="AA2" s="204"/>
      <c r="AB2" s="204"/>
      <c r="AC2" s="204"/>
      <c r="AD2" s="16"/>
      <c r="AE2" s="16"/>
      <c r="AF2" s="16"/>
      <c r="AG2" s="16"/>
      <c r="AH2" s="16"/>
      <c r="AI2" s="16"/>
      <c r="AJ2" s="16"/>
      <c r="AK2" s="16"/>
      <c r="AL2" s="16"/>
      <c r="AM2" s="16"/>
      <c r="AN2" s="16"/>
      <c r="AO2" s="16"/>
      <c r="AP2" s="16"/>
      <c r="AQ2" s="16"/>
    </row>
    <row r="3" spans="1:48" ht="15" customHeight="1" thickBot="1" x14ac:dyDescent="0.3">
      <c r="A3" s="231" t="s">
        <v>46</v>
      </c>
      <c r="B3" s="232"/>
      <c r="C3" s="232"/>
      <c r="D3" s="232" t="s">
        <v>47</v>
      </c>
      <c r="E3" s="233"/>
      <c r="F3" s="16"/>
      <c r="G3" s="16"/>
      <c r="H3" s="16"/>
      <c r="I3" s="16"/>
      <c r="J3" s="16"/>
      <c r="K3" s="16"/>
      <c r="L3" s="16"/>
      <c r="M3" s="16"/>
      <c r="N3" s="16"/>
      <c r="O3" s="16"/>
      <c r="P3" s="16"/>
      <c r="Q3" s="16"/>
      <c r="R3" s="16"/>
      <c r="S3" s="16"/>
      <c r="T3" s="16"/>
      <c r="U3" s="16"/>
      <c r="V3" s="204"/>
      <c r="W3" s="204"/>
      <c r="X3" s="204"/>
      <c r="Y3" s="418" t="s">
        <v>265</v>
      </c>
      <c r="Z3" s="204"/>
      <c r="AA3" s="204"/>
      <c r="AB3" s="204"/>
      <c r="AC3" s="204"/>
      <c r="AD3" s="16"/>
      <c r="AE3" s="16"/>
      <c r="AF3" s="16"/>
      <c r="AG3" s="16"/>
      <c r="AH3" s="16"/>
      <c r="AI3" s="16"/>
      <c r="AJ3" s="16"/>
      <c r="AK3" s="16"/>
      <c r="AL3" s="16"/>
      <c r="AM3" s="16"/>
      <c r="AN3" s="16"/>
      <c r="AO3" s="16"/>
      <c r="AP3" s="16"/>
      <c r="AQ3" s="16"/>
    </row>
    <row r="4" spans="1:48" ht="15" customHeight="1" x14ac:dyDescent="0.25">
      <c r="A4" s="16"/>
      <c r="B4" s="16"/>
      <c r="C4" s="16"/>
      <c r="D4" s="16"/>
      <c r="E4" s="16"/>
      <c r="F4" s="16"/>
      <c r="G4" s="16"/>
      <c r="H4" s="16"/>
      <c r="I4" s="16"/>
      <c r="J4" s="16"/>
      <c r="K4" s="16"/>
      <c r="L4" s="16"/>
      <c r="M4" s="16"/>
      <c r="N4" s="16"/>
      <c r="O4" s="16"/>
      <c r="P4" s="16"/>
      <c r="Q4" s="16"/>
      <c r="R4" s="16"/>
      <c r="S4" s="16"/>
      <c r="T4" s="16"/>
      <c r="U4" s="16"/>
      <c r="V4" s="204"/>
      <c r="W4" s="204"/>
      <c r="X4" s="204"/>
      <c r="Y4" s="418"/>
      <c r="Z4" s="204"/>
      <c r="AA4" s="204"/>
      <c r="AB4" s="204"/>
      <c r="AC4" s="204"/>
      <c r="AD4" s="16"/>
      <c r="AE4" s="16"/>
      <c r="AF4" s="16"/>
      <c r="AG4" s="16"/>
      <c r="AH4" s="16"/>
      <c r="AI4" s="16"/>
      <c r="AJ4" s="16"/>
      <c r="AK4" s="16"/>
      <c r="AL4" s="16"/>
      <c r="AM4" s="16"/>
      <c r="AN4" s="16"/>
      <c r="AO4" s="16"/>
      <c r="AP4" s="16"/>
      <c r="AQ4" s="16"/>
    </row>
    <row r="5" spans="1:48" ht="15" customHeight="1" x14ac:dyDescent="0.25">
      <c r="A5" s="16"/>
      <c r="B5" s="16"/>
      <c r="C5" s="16"/>
      <c r="D5" s="16"/>
      <c r="E5" s="16"/>
      <c r="F5" s="16"/>
      <c r="G5" s="16"/>
      <c r="H5" s="16"/>
      <c r="I5" s="16"/>
      <c r="J5" s="16"/>
      <c r="K5" s="16"/>
      <c r="L5" s="16"/>
      <c r="M5" s="16"/>
      <c r="N5" s="16"/>
      <c r="O5" s="16"/>
      <c r="P5" s="16"/>
      <c r="Q5" s="16"/>
      <c r="R5" s="16"/>
      <c r="S5" s="16"/>
      <c r="T5" s="16"/>
      <c r="U5" s="16"/>
      <c r="V5" s="16"/>
      <c r="W5" s="16"/>
      <c r="X5" s="16"/>
      <c r="Z5" s="16"/>
      <c r="AA5" s="16"/>
      <c r="AB5" s="16"/>
      <c r="AC5" s="16"/>
      <c r="AD5" s="16"/>
      <c r="AE5" s="16"/>
      <c r="AF5" s="16"/>
      <c r="AG5" s="16"/>
      <c r="AH5" s="16"/>
      <c r="AI5" s="16"/>
      <c r="AJ5" s="16"/>
      <c r="AK5" s="16"/>
      <c r="AL5" s="16"/>
      <c r="AM5" s="16"/>
      <c r="AN5" s="16"/>
      <c r="AO5" s="16"/>
      <c r="AP5" s="16"/>
      <c r="AQ5" s="16"/>
    </row>
    <row r="6" spans="1:48" ht="15" customHeight="1" x14ac:dyDescent="0.3">
      <c r="A6" s="414" t="s">
        <v>0</v>
      </c>
      <c r="B6" s="414"/>
      <c r="C6" s="414"/>
      <c r="D6" s="414"/>
      <c r="E6" s="414"/>
      <c r="F6" s="414"/>
      <c r="G6" s="414"/>
      <c r="H6" s="414"/>
      <c r="I6" s="414"/>
      <c r="J6" s="414"/>
      <c r="K6" s="414"/>
      <c r="L6" s="414"/>
      <c r="M6" s="414"/>
      <c r="N6" s="414"/>
      <c r="O6" s="414"/>
      <c r="P6" s="414"/>
      <c r="Q6" s="414"/>
      <c r="R6" s="414"/>
      <c r="S6" s="414"/>
      <c r="T6" s="414"/>
      <c r="U6" s="414"/>
      <c r="V6" s="414"/>
      <c r="W6" s="414"/>
      <c r="X6" s="414"/>
      <c r="Y6" s="201" t="s">
        <v>51</v>
      </c>
      <c r="Z6" s="414" t="s">
        <v>104</v>
      </c>
      <c r="AA6" s="414"/>
      <c r="AB6" s="414"/>
      <c r="AC6" s="414"/>
      <c r="AD6" s="414" t="s">
        <v>53</v>
      </c>
      <c r="AE6" s="414"/>
      <c r="AF6" s="414" t="s">
        <v>52</v>
      </c>
      <c r="AG6" s="414"/>
      <c r="AH6" s="205"/>
      <c r="AI6" s="414" t="s">
        <v>1</v>
      </c>
      <c r="AJ6" s="414"/>
      <c r="AK6" s="414"/>
      <c r="AL6" s="414"/>
      <c r="AM6" s="414"/>
      <c r="AN6" s="414"/>
      <c r="AO6" s="414"/>
      <c r="AP6" s="414"/>
      <c r="AQ6" s="414"/>
    </row>
    <row r="7" spans="1:48" s="9" customFormat="1" ht="159.9" customHeight="1" thickBot="1" x14ac:dyDescent="0.8">
      <c r="A7" s="127" t="s">
        <v>74</v>
      </c>
      <c r="B7" s="128" t="s">
        <v>75</v>
      </c>
      <c r="C7" s="128" t="s">
        <v>76</v>
      </c>
      <c r="D7" s="128" t="s">
        <v>77</v>
      </c>
      <c r="E7" s="128" t="s">
        <v>78</v>
      </c>
      <c r="F7" s="128" t="s">
        <v>79</v>
      </c>
      <c r="G7" s="128" t="s">
        <v>80</v>
      </c>
      <c r="H7" s="128" t="s">
        <v>81</v>
      </c>
      <c r="I7" s="128" t="s">
        <v>82</v>
      </c>
      <c r="J7" s="128" t="s">
        <v>83</v>
      </c>
      <c r="K7" s="128" t="s">
        <v>84</v>
      </c>
      <c r="L7" s="128" t="s">
        <v>85</v>
      </c>
      <c r="M7" s="128" t="s">
        <v>86</v>
      </c>
      <c r="N7" s="128" t="s">
        <v>87</v>
      </c>
      <c r="O7" s="128" t="s">
        <v>88</v>
      </c>
      <c r="P7" s="128" t="s">
        <v>89</v>
      </c>
      <c r="Q7" s="128" t="s">
        <v>90</v>
      </c>
      <c r="R7" s="128" t="s">
        <v>91</v>
      </c>
      <c r="S7" s="128" t="s">
        <v>92</v>
      </c>
      <c r="T7" s="128" t="s">
        <v>93</v>
      </c>
      <c r="U7" s="128" t="s">
        <v>94</v>
      </c>
      <c r="V7" s="128" t="s">
        <v>95</v>
      </c>
      <c r="W7" s="128" t="s">
        <v>96</v>
      </c>
      <c r="X7" s="129" t="s">
        <v>97</v>
      </c>
      <c r="Y7" s="130"/>
      <c r="Z7" s="131" t="s">
        <v>98</v>
      </c>
      <c r="AA7" s="128" t="s">
        <v>99</v>
      </c>
      <c r="AB7" s="128" t="s">
        <v>100</v>
      </c>
      <c r="AC7" s="129" t="s">
        <v>101</v>
      </c>
      <c r="AD7" s="127" t="s">
        <v>102</v>
      </c>
      <c r="AE7" s="129" t="s">
        <v>103</v>
      </c>
      <c r="AF7" s="127" t="s">
        <v>102</v>
      </c>
      <c r="AG7" s="129" t="s">
        <v>103</v>
      </c>
      <c r="AH7" s="132" t="s">
        <v>105</v>
      </c>
      <c r="AI7" s="133" t="s">
        <v>106</v>
      </c>
      <c r="AJ7" s="128" t="s">
        <v>107</v>
      </c>
      <c r="AK7" s="128" t="s">
        <v>108</v>
      </c>
      <c r="AL7" s="128" t="s">
        <v>109</v>
      </c>
      <c r="AM7" s="128" t="s">
        <v>110</v>
      </c>
      <c r="AN7" s="128" t="s">
        <v>111</v>
      </c>
      <c r="AO7" s="134" t="s">
        <v>112</v>
      </c>
      <c r="AP7" s="134" t="s">
        <v>113</v>
      </c>
      <c r="AQ7" s="129" t="s">
        <v>114</v>
      </c>
    </row>
    <row r="8" spans="1:48" ht="15" customHeight="1" x14ac:dyDescent="0.25">
      <c r="A8" s="135"/>
      <c r="B8" s="136"/>
      <c r="C8" s="136"/>
      <c r="D8" s="136"/>
      <c r="E8" s="136"/>
      <c r="F8" s="136"/>
      <c r="G8" s="136"/>
      <c r="H8" s="136"/>
      <c r="I8" s="136"/>
      <c r="J8" s="136"/>
      <c r="K8" s="136"/>
      <c r="L8" s="136"/>
      <c r="M8" s="136"/>
      <c r="N8" s="136"/>
      <c r="O8" s="136"/>
      <c r="P8" s="136"/>
      <c r="Q8" s="136"/>
      <c r="R8" s="136"/>
      <c r="S8" s="136"/>
      <c r="T8" s="136"/>
      <c r="U8" s="136"/>
      <c r="V8" s="136"/>
      <c r="W8" s="136"/>
      <c r="X8" s="137">
        <f t="shared" ref="X8:X80" si="0">SUM(A8:W8)</f>
        <v>0</v>
      </c>
      <c r="Y8" s="138" t="s">
        <v>3</v>
      </c>
      <c r="Z8" s="135"/>
      <c r="AA8" s="136">
        <v>44</v>
      </c>
      <c r="AB8" s="136"/>
      <c r="AC8" s="137"/>
      <c r="AD8" s="135">
        <f t="shared" ref="AD8:AD13" si="1">-AE8/$D$2%</f>
        <v>-100.21279754540507</v>
      </c>
      <c r="AE8" s="139">
        <f>AH8/AA8%</f>
        <v>92.045454545454547</v>
      </c>
      <c r="AF8" s="140"/>
      <c r="AG8" s="139"/>
      <c r="AH8" s="141">
        <f t="shared" ref="AH8:AH14" si="2">SUM(AI8:AQ8)</f>
        <v>40.5</v>
      </c>
      <c r="AI8" s="110">
        <v>40.5</v>
      </c>
      <c r="AJ8" s="142"/>
      <c r="AK8" s="142"/>
      <c r="AL8" s="142"/>
      <c r="AM8" s="142"/>
      <c r="AN8" s="142"/>
      <c r="AO8" s="142"/>
      <c r="AP8" s="142"/>
      <c r="AQ8" s="143"/>
    </row>
    <row r="9" spans="1:48" ht="15" customHeight="1" x14ac:dyDescent="0.25">
      <c r="A9" s="135"/>
      <c r="B9" s="136"/>
      <c r="C9" s="136"/>
      <c r="D9" s="136"/>
      <c r="E9" s="136"/>
      <c r="F9" s="136"/>
      <c r="G9" s="136"/>
      <c r="H9" s="136"/>
      <c r="I9" s="136"/>
      <c r="J9" s="136"/>
      <c r="K9" s="136"/>
      <c r="L9" s="136"/>
      <c r="M9" s="136"/>
      <c r="N9" s="136"/>
      <c r="O9" s="136"/>
      <c r="P9" s="136"/>
      <c r="Q9" s="136"/>
      <c r="R9" s="136"/>
      <c r="S9" s="136"/>
      <c r="T9" s="136"/>
      <c r="U9" s="136"/>
      <c r="V9" s="136"/>
      <c r="W9" s="136"/>
      <c r="X9" s="137">
        <f t="shared" si="0"/>
        <v>0</v>
      </c>
      <c r="Y9" s="138" t="s">
        <v>4</v>
      </c>
      <c r="Z9" s="135"/>
      <c r="AA9" s="136"/>
      <c r="AB9" s="136">
        <v>90</v>
      </c>
      <c r="AC9" s="137"/>
      <c r="AD9" s="135">
        <f t="shared" si="1"/>
        <v>-7.5001512127260632</v>
      </c>
      <c r="AE9" s="139">
        <f>AH9/AB9%</f>
        <v>6.8888888888888893</v>
      </c>
      <c r="AF9" s="140"/>
      <c r="AG9" s="139"/>
      <c r="AH9" s="141">
        <f t="shared" si="2"/>
        <v>6.2</v>
      </c>
      <c r="AI9" s="111">
        <v>6.2</v>
      </c>
      <c r="AJ9" s="142"/>
      <c r="AK9" s="142"/>
      <c r="AL9" s="142"/>
      <c r="AM9" s="142"/>
      <c r="AN9" s="142"/>
      <c r="AO9" s="142"/>
      <c r="AP9" s="142"/>
      <c r="AQ9" s="143"/>
    </row>
    <row r="10" spans="1:48" ht="15" customHeight="1" x14ac:dyDescent="0.25">
      <c r="A10" s="135"/>
      <c r="B10" s="136"/>
      <c r="C10" s="136"/>
      <c r="D10" s="136"/>
      <c r="E10" s="136"/>
      <c r="F10" s="136"/>
      <c r="G10" s="136"/>
      <c r="H10" s="136"/>
      <c r="I10" s="136"/>
      <c r="J10" s="136"/>
      <c r="K10" s="136"/>
      <c r="L10" s="136"/>
      <c r="M10" s="136"/>
      <c r="N10" s="136"/>
      <c r="O10" s="136"/>
      <c r="P10" s="136"/>
      <c r="Q10" s="136"/>
      <c r="R10" s="136"/>
      <c r="S10" s="136"/>
      <c r="T10" s="136"/>
      <c r="U10" s="136"/>
      <c r="V10" s="136"/>
      <c r="W10" s="136"/>
      <c r="X10" s="137">
        <f t="shared" si="0"/>
        <v>0</v>
      </c>
      <c r="Y10" s="138" t="s">
        <v>5</v>
      </c>
      <c r="Z10" s="135"/>
      <c r="AA10" s="136"/>
      <c r="AB10" s="136">
        <v>100</v>
      </c>
      <c r="AC10" s="137"/>
      <c r="AD10" s="135">
        <f t="shared" si="1"/>
        <v>-32.00870985302123</v>
      </c>
      <c r="AE10" s="139">
        <f>AH10/AB10%</f>
        <v>29.4</v>
      </c>
      <c r="AF10" s="140"/>
      <c r="AG10" s="139"/>
      <c r="AH10" s="141">
        <f t="shared" si="2"/>
        <v>29.4</v>
      </c>
      <c r="AI10" s="111">
        <v>29.4</v>
      </c>
      <c r="AJ10" s="142"/>
      <c r="AK10" s="142"/>
      <c r="AL10" s="142"/>
      <c r="AM10" s="142"/>
      <c r="AN10" s="142"/>
      <c r="AO10" s="142"/>
      <c r="AP10" s="142"/>
      <c r="AQ10" s="143"/>
    </row>
    <row r="11" spans="1:48" ht="15" customHeight="1" x14ac:dyDescent="0.25">
      <c r="A11" s="135"/>
      <c r="B11" s="136"/>
      <c r="C11" s="136"/>
      <c r="D11" s="136"/>
      <c r="E11" s="136"/>
      <c r="F11" s="136"/>
      <c r="G11" s="136"/>
      <c r="H11" s="136"/>
      <c r="I11" s="136"/>
      <c r="J11" s="136"/>
      <c r="K11" s="136"/>
      <c r="L11" s="136"/>
      <c r="M11" s="136"/>
      <c r="N11" s="136"/>
      <c r="O11" s="136"/>
      <c r="P11" s="136"/>
      <c r="Q11" s="136"/>
      <c r="R11" s="136"/>
      <c r="S11" s="136"/>
      <c r="T11" s="136"/>
      <c r="U11" s="136"/>
      <c r="V11" s="136"/>
      <c r="W11" s="136"/>
      <c r="X11" s="137">
        <f t="shared" si="0"/>
        <v>0</v>
      </c>
      <c r="Y11" s="138" t="s">
        <v>18</v>
      </c>
      <c r="Z11" s="135"/>
      <c r="AA11" s="136">
        <v>50</v>
      </c>
      <c r="AB11" s="136"/>
      <c r="AC11" s="137"/>
      <c r="AD11" s="135">
        <f t="shared" si="1"/>
        <v>-259.23549706368334</v>
      </c>
      <c r="AE11" s="139">
        <f>AH11/AA11%</f>
        <v>238.10780405299315</v>
      </c>
      <c r="AF11" s="140"/>
      <c r="AG11" s="139"/>
      <c r="AH11" s="141">
        <f t="shared" si="2"/>
        <v>119.05390202649657</v>
      </c>
      <c r="AI11" s="111">
        <v>46.010289091700542</v>
      </c>
      <c r="AJ11" s="110">
        <v>22.718153257843227</v>
      </c>
      <c r="AK11" s="110">
        <v>13.335913320128627</v>
      </c>
      <c r="AL11" s="110">
        <v>19.417644533969696</v>
      </c>
      <c r="AM11" s="110">
        <v>0.43494709198286113</v>
      </c>
      <c r="AN11" s="110">
        <v>10.511732351298905</v>
      </c>
      <c r="AO11" s="110">
        <v>9.4099299204511919E-2</v>
      </c>
      <c r="AP11" s="110">
        <v>6.5311230803682063</v>
      </c>
      <c r="AQ11" s="143"/>
    </row>
    <row r="12" spans="1:48" ht="15" customHeight="1" x14ac:dyDescent="0.25">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7">
        <f t="shared" si="0"/>
        <v>0</v>
      </c>
      <c r="Y12" s="138" t="s">
        <v>19</v>
      </c>
      <c r="Z12" s="135"/>
      <c r="AA12" s="136">
        <v>150</v>
      </c>
      <c r="AB12" s="136"/>
      <c r="AC12" s="137"/>
      <c r="AD12" s="135">
        <f t="shared" si="1"/>
        <v>-232.82836592102817</v>
      </c>
      <c r="AE12" s="139">
        <f>AH12/AA12%</f>
        <v>213.85285409846438</v>
      </c>
      <c r="AF12" s="140"/>
      <c r="AG12" s="139"/>
      <c r="AH12" s="141">
        <f t="shared" si="2"/>
        <v>320.77928114769657</v>
      </c>
      <c r="AI12" s="111">
        <v>162.9654755570555</v>
      </c>
      <c r="AJ12" s="110"/>
      <c r="AK12" s="110">
        <v>44.808668755632191</v>
      </c>
      <c r="AL12" s="110">
        <v>65.243285634138189</v>
      </c>
      <c r="AM12" s="110">
        <v>1.7397883679314448</v>
      </c>
      <c r="AN12" s="110">
        <v>42.04692940519562</v>
      </c>
      <c r="AO12" s="110">
        <v>5.6459579522707144E-2</v>
      </c>
      <c r="AP12" s="110">
        <v>3.9186738482209234</v>
      </c>
      <c r="AQ12" s="143"/>
    </row>
    <row r="13" spans="1:48" ht="15" customHeight="1" x14ac:dyDescent="0.25">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7">
        <f t="shared" si="0"/>
        <v>0</v>
      </c>
      <c r="Y13" s="138" t="s">
        <v>71</v>
      </c>
      <c r="Z13" s="135"/>
      <c r="AA13" s="136">
        <v>85</v>
      </c>
      <c r="AB13" s="136"/>
      <c r="AC13" s="137"/>
      <c r="AD13" s="135">
        <f t="shared" si="1"/>
        <v>-1235.6990170276044</v>
      </c>
      <c r="AE13" s="139">
        <f>AH13/AA13%</f>
        <v>1134.9895471398547</v>
      </c>
      <c r="AF13" s="140"/>
      <c r="AG13" s="139"/>
      <c r="AH13" s="141">
        <f t="shared" si="2"/>
        <v>964.74111506887641</v>
      </c>
      <c r="AI13" s="111">
        <v>255.84689140733357</v>
      </c>
      <c r="AJ13" s="110">
        <v>104.41936367771646</v>
      </c>
      <c r="AK13" s="110">
        <v>42.621578971131093</v>
      </c>
      <c r="AL13" s="110">
        <v>62.058791930567139</v>
      </c>
      <c r="AM13" s="110">
        <v>10.598210807982381</v>
      </c>
      <c r="AN13" s="110">
        <v>256.13587829331669</v>
      </c>
      <c r="AO13" s="110">
        <v>0.87449615394059732</v>
      </c>
      <c r="AP13" s="110">
        <v>60.695903826888525</v>
      </c>
      <c r="AQ13" s="334">
        <f>1+36+134.49</f>
        <v>171.49</v>
      </c>
      <c r="AR13" s="19"/>
    </row>
    <row r="14" spans="1:48" ht="15" customHeight="1" x14ac:dyDescent="0.25">
      <c r="A14" s="135"/>
      <c r="B14" s="144"/>
      <c r="C14" s="136"/>
      <c r="D14" s="136"/>
      <c r="E14" s="136"/>
      <c r="F14" s="136"/>
      <c r="G14" s="136"/>
      <c r="H14" s="136"/>
      <c r="I14" s="136"/>
      <c r="J14" s="136"/>
      <c r="K14" s="136"/>
      <c r="L14" s="136"/>
      <c r="M14" s="136"/>
      <c r="N14" s="110">
        <f>AH14-AE14</f>
        <v>182.98000000000002</v>
      </c>
      <c r="O14" s="136"/>
      <c r="P14" s="136"/>
      <c r="Q14" s="136"/>
      <c r="R14" s="136"/>
      <c r="S14" s="136"/>
      <c r="T14" s="136"/>
      <c r="U14" s="136"/>
      <c r="V14" s="136"/>
      <c r="W14" s="136"/>
      <c r="X14" s="137">
        <f t="shared" si="0"/>
        <v>182.98000000000002</v>
      </c>
      <c r="Y14" s="138" t="s">
        <v>54</v>
      </c>
      <c r="Z14" s="135"/>
      <c r="AA14" s="136"/>
      <c r="AB14" s="136">
        <v>300</v>
      </c>
      <c r="AC14" s="137"/>
      <c r="AD14" s="135">
        <f>-AE14/$D$2%</f>
        <v>-99.608056614044628</v>
      </c>
      <c r="AE14" s="334">
        <f>9+76.49+6</f>
        <v>91.49</v>
      </c>
      <c r="AF14" s="140"/>
      <c r="AG14" s="139"/>
      <c r="AH14" s="141">
        <f t="shared" si="2"/>
        <v>274.47000000000003</v>
      </c>
      <c r="AI14" s="145">
        <f>AE14*AB14/100</f>
        <v>274.47000000000003</v>
      </c>
      <c r="AJ14" s="144"/>
      <c r="AK14" s="144"/>
      <c r="AL14" s="144"/>
      <c r="AM14" s="144"/>
      <c r="AN14" s="144"/>
      <c r="AO14" s="144"/>
      <c r="AP14" s="144"/>
      <c r="AQ14" s="139"/>
      <c r="AV14" s="11"/>
    </row>
    <row r="15" spans="1:48" ht="15" customHeight="1" x14ac:dyDescent="0.25">
      <c r="A15" s="113">
        <f>Z15%*AD15</f>
        <v>-891.58406646395622</v>
      </c>
      <c r="B15" s="144"/>
      <c r="C15" s="136"/>
      <c r="D15" s="136"/>
      <c r="E15" s="136"/>
      <c r="F15" s="136"/>
      <c r="G15" s="136"/>
      <c r="H15" s="136"/>
      <c r="I15" s="136"/>
      <c r="J15" s="136"/>
      <c r="K15" s="136"/>
      <c r="L15" s="136"/>
      <c r="M15" s="136"/>
      <c r="N15" s="136"/>
      <c r="O15" s="136"/>
      <c r="P15" s="136"/>
      <c r="Q15" s="136"/>
      <c r="R15" s="136"/>
      <c r="S15" s="136"/>
      <c r="T15" s="136"/>
      <c r="U15" s="136"/>
      <c r="V15" s="136"/>
      <c r="W15" s="136"/>
      <c r="X15" s="137">
        <f t="shared" si="0"/>
        <v>-891.58406646395622</v>
      </c>
      <c r="Y15" s="138" t="s">
        <v>34</v>
      </c>
      <c r="Z15" s="135">
        <v>100</v>
      </c>
      <c r="AA15" s="136"/>
      <c r="AB15" s="136"/>
      <c r="AC15" s="137"/>
      <c r="AD15" s="135">
        <f>-SUM(AD16:AD80,AD8:AD14)</f>
        <v>-891.58406646395622</v>
      </c>
      <c r="AE15" s="139"/>
      <c r="AF15" s="140"/>
      <c r="AG15" s="139"/>
      <c r="AH15" s="141">
        <f t="shared" ref="AH15:AH52" si="3">SUM(AI15:AQ15)</f>
        <v>0</v>
      </c>
      <c r="AI15" s="140"/>
      <c r="AJ15" s="144"/>
      <c r="AK15" s="144"/>
      <c r="AL15" s="144"/>
      <c r="AM15" s="144"/>
      <c r="AN15" s="144"/>
      <c r="AO15" s="144"/>
      <c r="AP15" s="144"/>
      <c r="AQ15" s="139"/>
      <c r="AV15" s="11"/>
    </row>
    <row r="16" spans="1:48" ht="15" customHeight="1" x14ac:dyDescent="0.25">
      <c r="A16" s="146"/>
      <c r="B16" s="110">
        <v>43</v>
      </c>
      <c r="C16" s="147"/>
      <c r="D16" s="147"/>
      <c r="E16" s="148"/>
      <c r="F16" s="148"/>
      <c r="G16" s="148"/>
      <c r="H16" s="148"/>
      <c r="I16" s="148"/>
      <c r="J16" s="147"/>
      <c r="K16" s="147"/>
      <c r="L16" s="147"/>
      <c r="M16" s="147"/>
      <c r="N16" s="147"/>
      <c r="O16" s="147"/>
      <c r="P16" s="147"/>
      <c r="Q16" s="147"/>
      <c r="R16" s="147"/>
      <c r="S16" s="147"/>
      <c r="T16" s="147"/>
      <c r="U16" s="147"/>
      <c r="V16" s="147"/>
      <c r="W16" s="147"/>
      <c r="X16" s="137">
        <f t="shared" si="0"/>
        <v>43</v>
      </c>
      <c r="Y16" s="149" t="s">
        <v>72</v>
      </c>
      <c r="Z16" s="150"/>
      <c r="AA16" s="147"/>
      <c r="AB16" s="148">
        <v>38</v>
      </c>
      <c r="AC16" s="151"/>
      <c r="AD16" s="150"/>
      <c r="AE16" s="151"/>
      <c r="AF16" s="150"/>
      <c r="AG16" s="151"/>
      <c r="AH16" s="108">
        <f t="shared" si="3"/>
        <v>16.34</v>
      </c>
      <c r="AI16" s="152">
        <f>X16*AB16/100*0.2</f>
        <v>3.2680000000000002</v>
      </c>
      <c r="AJ16" s="276"/>
      <c r="AK16" s="276"/>
      <c r="AL16" s="276"/>
      <c r="AM16" s="276"/>
      <c r="AN16" s="276">
        <f>X16*AB16/100*0.6</f>
        <v>9.8040000000000003</v>
      </c>
      <c r="AO16" s="276"/>
      <c r="AP16" s="276"/>
      <c r="AQ16" s="277">
        <f>X16*AB16/100*0.2</f>
        <v>3.2680000000000002</v>
      </c>
      <c r="AV16" s="11"/>
    </row>
    <row r="17" spans="1:48" ht="15" customHeight="1" x14ac:dyDescent="0.25">
      <c r="A17" s="135"/>
      <c r="B17" s="144"/>
      <c r="C17" s="136"/>
      <c r="D17" s="136"/>
      <c r="E17" s="329">
        <f>145.7*0.96*0.3</f>
        <v>41.961599999999997</v>
      </c>
      <c r="F17" s="144"/>
      <c r="G17" s="144"/>
      <c r="H17" s="144"/>
      <c r="I17" s="144"/>
      <c r="J17" s="136"/>
      <c r="K17" s="136"/>
      <c r="L17" s="136"/>
      <c r="M17" s="136"/>
      <c r="N17" s="144"/>
      <c r="O17" s="144"/>
      <c r="P17" s="144"/>
      <c r="Q17" s="144"/>
      <c r="R17" s="144"/>
      <c r="S17" s="144"/>
      <c r="T17" s="144"/>
      <c r="U17" s="144"/>
      <c r="V17" s="144"/>
      <c r="W17" s="144"/>
      <c r="X17" s="137">
        <f t="shared" si="0"/>
        <v>41.961599999999997</v>
      </c>
      <c r="Y17" s="138" t="s">
        <v>55</v>
      </c>
      <c r="Z17" s="135"/>
      <c r="AA17" s="136"/>
      <c r="AB17" s="144">
        <v>80</v>
      </c>
      <c r="AC17" s="137"/>
      <c r="AD17" s="135"/>
      <c r="AE17" s="137"/>
      <c r="AF17" s="135"/>
      <c r="AG17" s="137"/>
      <c r="AH17" s="108">
        <f t="shared" si="3"/>
        <v>33.569279999999999</v>
      </c>
      <c r="AI17" s="153">
        <f t="shared" ref="AI17:AI22" si="4">X17*AB17/100</f>
        <v>33.569279999999999</v>
      </c>
      <c r="AJ17" s="136"/>
      <c r="AK17" s="136"/>
      <c r="AL17" s="136"/>
      <c r="AM17" s="136"/>
      <c r="AN17" s="136"/>
      <c r="AO17" s="136"/>
      <c r="AP17" s="136"/>
      <c r="AQ17" s="137"/>
      <c r="AS17" s="11"/>
    </row>
    <row r="18" spans="1:48" ht="15" customHeight="1" x14ac:dyDescent="0.25">
      <c r="A18" s="135"/>
      <c r="B18" s="144"/>
      <c r="C18" s="136"/>
      <c r="D18" s="136"/>
      <c r="E18" s="144"/>
      <c r="F18" s="144"/>
      <c r="G18" s="144"/>
      <c r="H18" s="144"/>
      <c r="I18" s="329">
        <f>(357.5*0.96)*0.8</f>
        <v>274.56</v>
      </c>
      <c r="J18" s="136"/>
      <c r="K18" s="136"/>
      <c r="L18" s="136"/>
      <c r="M18" s="136"/>
      <c r="N18" s="144"/>
      <c r="O18" s="144"/>
      <c r="P18" s="144"/>
      <c r="Q18" s="144"/>
      <c r="R18" s="144"/>
      <c r="S18" s="144"/>
      <c r="T18" s="144"/>
      <c r="U18" s="144"/>
      <c r="V18" s="144"/>
      <c r="W18" s="144"/>
      <c r="X18" s="137">
        <f t="shared" si="0"/>
        <v>274.56</v>
      </c>
      <c r="Y18" s="138" t="s">
        <v>56</v>
      </c>
      <c r="Z18" s="135"/>
      <c r="AA18" s="136"/>
      <c r="AB18" s="144">
        <v>85</v>
      </c>
      <c r="AC18" s="137"/>
      <c r="AD18" s="135"/>
      <c r="AE18" s="137"/>
      <c r="AF18" s="135"/>
      <c r="AG18" s="137"/>
      <c r="AH18" s="108">
        <f t="shared" si="3"/>
        <v>233.37599999999998</v>
      </c>
      <c r="AI18" s="153">
        <f t="shared" si="4"/>
        <v>233.37599999999998</v>
      </c>
      <c r="AJ18" s="136"/>
      <c r="AK18" s="136"/>
      <c r="AL18" s="136"/>
      <c r="AM18" s="136"/>
      <c r="AN18" s="136"/>
      <c r="AO18" s="136"/>
      <c r="AP18" s="136"/>
      <c r="AQ18" s="137"/>
      <c r="AS18" s="11"/>
    </row>
    <row r="19" spans="1:48" ht="15" customHeight="1" x14ac:dyDescent="0.25">
      <c r="A19" s="135"/>
      <c r="B19" s="136"/>
      <c r="C19" s="136"/>
      <c r="D19" s="136"/>
      <c r="E19" s="136"/>
      <c r="F19" s="136"/>
      <c r="G19" s="136"/>
      <c r="H19" s="136"/>
      <c r="I19" s="142"/>
      <c r="J19" s="136"/>
      <c r="K19" s="136"/>
      <c r="L19" s="136"/>
      <c r="M19" s="136"/>
      <c r="N19" s="144"/>
      <c r="O19" s="144"/>
      <c r="P19" s="144"/>
      <c r="Q19" s="142"/>
      <c r="R19" s="142"/>
      <c r="S19" s="329">
        <f>393*0.96+25.498</f>
        <v>402.77799999999996</v>
      </c>
      <c r="T19" s="144"/>
      <c r="U19" s="144"/>
      <c r="V19" s="144"/>
      <c r="W19" s="144"/>
      <c r="X19" s="137">
        <f t="shared" si="0"/>
        <v>402.77799999999996</v>
      </c>
      <c r="Y19" s="138" t="s">
        <v>57</v>
      </c>
      <c r="Z19" s="135"/>
      <c r="AA19" s="136"/>
      <c r="AB19" s="144">
        <v>75</v>
      </c>
      <c r="AC19" s="137"/>
      <c r="AD19" s="135"/>
      <c r="AE19" s="137"/>
      <c r="AF19" s="135"/>
      <c r="AG19" s="137"/>
      <c r="AH19" s="108">
        <f t="shared" si="3"/>
        <v>302.08349999999996</v>
      </c>
      <c r="AI19" s="153">
        <f t="shared" si="4"/>
        <v>302.08349999999996</v>
      </c>
      <c r="AJ19" s="136"/>
      <c r="AK19" s="136"/>
      <c r="AL19" s="136"/>
      <c r="AM19" s="136"/>
      <c r="AN19" s="136"/>
      <c r="AO19" s="136"/>
      <c r="AP19" s="136"/>
      <c r="AQ19" s="137"/>
      <c r="AV19" s="11"/>
    </row>
    <row r="20" spans="1:48" ht="15" customHeight="1" x14ac:dyDescent="0.25">
      <c r="A20" s="135"/>
      <c r="B20" s="136"/>
      <c r="C20" s="136"/>
      <c r="D20" s="136"/>
      <c r="E20" s="136"/>
      <c r="F20" s="136"/>
      <c r="G20" s="136"/>
      <c r="H20" s="136"/>
      <c r="I20" s="142"/>
      <c r="J20" s="136"/>
      <c r="K20" s="136"/>
      <c r="L20" s="136"/>
      <c r="M20" s="136"/>
      <c r="N20" s="144"/>
      <c r="O20" s="144"/>
      <c r="P20" s="144"/>
      <c r="Q20" s="142"/>
      <c r="R20" s="329">
        <f>362*0.96</f>
        <v>347.52</v>
      </c>
      <c r="S20" s="142"/>
      <c r="T20" s="144"/>
      <c r="U20" s="144"/>
      <c r="V20" s="144"/>
      <c r="W20" s="144"/>
      <c r="X20" s="137">
        <f t="shared" si="0"/>
        <v>347.52</v>
      </c>
      <c r="Y20" s="138" t="s">
        <v>58</v>
      </c>
      <c r="Z20" s="135"/>
      <c r="AA20" s="136"/>
      <c r="AB20" s="144">
        <v>65</v>
      </c>
      <c r="AC20" s="137"/>
      <c r="AD20" s="135"/>
      <c r="AE20" s="137"/>
      <c r="AF20" s="135"/>
      <c r="AG20" s="137"/>
      <c r="AH20" s="108">
        <f t="shared" si="3"/>
        <v>225.88800000000001</v>
      </c>
      <c r="AI20" s="153">
        <f t="shared" si="4"/>
        <v>225.88800000000001</v>
      </c>
      <c r="AJ20" s="136"/>
      <c r="AK20" s="136"/>
      <c r="AL20" s="136"/>
      <c r="AM20" s="136"/>
      <c r="AN20" s="136"/>
      <c r="AO20" s="136"/>
      <c r="AP20" s="136"/>
      <c r="AQ20" s="137"/>
      <c r="AS20" s="11"/>
    </row>
    <row r="21" spans="1:48" ht="15" customHeight="1" x14ac:dyDescent="0.25">
      <c r="A21" s="135"/>
      <c r="B21" s="136"/>
      <c r="C21" s="136"/>
      <c r="D21" s="136"/>
      <c r="E21" s="136"/>
      <c r="F21" s="136"/>
      <c r="G21" s="136"/>
      <c r="H21" s="136"/>
      <c r="I21" s="142"/>
      <c r="J21" s="136"/>
      <c r="K21" s="136"/>
      <c r="L21" s="136"/>
      <c r="M21" s="136"/>
      <c r="N21" s="144"/>
      <c r="O21" s="144"/>
      <c r="P21" s="144"/>
      <c r="Q21" s="329">
        <f>88.7*0.96</f>
        <v>85.152000000000001</v>
      </c>
      <c r="R21" s="142"/>
      <c r="S21" s="142"/>
      <c r="T21" s="144"/>
      <c r="U21" s="144"/>
      <c r="V21" s="144"/>
      <c r="W21" s="144"/>
      <c r="X21" s="137">
        <f t="shared" si="0"/>
        <v>85.152000000000001</v>
      </c>
      <c r="Y21" s="138" t="s">
        <v>59</v>
      </c>
      <c r="Z21" s="135"/>
      <c r="AA21" s="136"/>
      <c r="AB21" s="144">
        <v>65</v>
      </c>
      <c r="AC21" s="137"/>
      <c r="AD21" s="135"/>
      <c r="AE21" s="137"/>
      <c r="AF21" s="135"/>
      <c r="AG21" s="137"/>
      <c r="AH21" s="108">
        <f t="shared" si="3"/>
        <v>55.348800000000004</v>
      </c>
      <c r="AI21" s="153">
        <f t="shared" si="4"/>
        <v>55.348800000000004</v>
      </c>
      <c r="AJ21" s="136"/>
      <c r="AK21" s="136"/>
      <c r="AL21" s="136"/>
      <c r="AM21" s="136"/>
      <c r="AN21" s="136"/>
      <c r="AO21" s="136"/>
      <c r="AP21" s="136"/>
      <c r="AQ21" s="137"/>
      <c r="AS21" s="11"/>
    </row>
    <row r="22" spans="1:48" ht="15" customHeight="1" x14ac:dyDescent="0.25">
      <c r="A22" s="135"/>
      <c r="B22" s="136"/>
      <c r="C22" s="136"/>
      <c r="D22" s="136"/>
      <c r="E22" s="136"/>
      <c r="F22" s="136"/>
      <c r="G22" s="136"/>
      <c r="H22" s="136"/>
      <c r="I22" s="142"/>
      <c r="J22" s="136"/>
      <c r="K22" s="136"/>
      <c r="L22" s="110">
        <v>9.3000000000000007</v>
      </c>
      <c r="M22" s="136"/>
      <c r="N22" s="144"/>
      <c r="O22" s="144"/>
      <c r="P22" s="144"/>
      <c r="Q22" s="144"/>
      <c r="R22" s="144"/>
      <c r="S22" s="144"/>
      <c r="T22" s="144"/>
      <c r="U22" s="144"/>
      <c r="V22" s="144"/>
      <c r="W22" s="144"/>
      <c r="X22" s="137">
        <f t="shared" si="0"/>
        <v>9.3000000000000007</v>
      </c>
      <c r="Y22" s="138" t="s">
        <v>6</v>
      </c>
      <c r="Z22" s="135"/>
      <c r="AA22" s="136"/>
      <c r="AB22" s="136">
        <v>100</v>
      </c>
      <c r="AC22" s="137"/>
      <c r="AD22" s="135"/>
      <c r="AE22" s="137"/>
      <c r="AF22" s="135"/>
      <c r="AG22" s="137"/>
      <c r="AH22" s="108">
        <f t="shared" si="3"/>
        <v>9.3000000000000007</v>
      </c>
      <c r="AI22" s="153">
        <f t="shared" si="4"/>
        <v>9.3000000000000007</v>
      </c>
      <c r="AJ22" s="136"/>
      <c r="AK22" s="136"/>
      <c r="AL22" s="136"/>
      <c r="AM22" s="136"/>
      <c r="AN22" s="136"/>
      <c r="AO22" s="136"/>
      <c r="AP22" s="136"/>
      <c r="AQ22" s="137"/>
      <c r="AV22" s="11"/>
    </row>
    <row r="23" spans="1:48" ht="15" customHeight="1" x14ac:dyDescent="0.25">
      <c r="A23" s="135"/>
      <c r="B23" s="136"/>
      <c r="C23" s="144"/>
      <c r="D23" s="144"/>
      <c r="E23" s="110">
        <v>20.399999999999999</v>
      </c>
      <c r="F23" s="144"/>
      <c r="G23" s="144"/>
      <c r="H23" s="144"/>
      <c r="I23" s="142"/>
      <c r="J23" s="144"/>
      <c r="K23" s="144"/>
      <c r="L23" s="144"/>
      <c r="M23" s="144"/>
      <c r="N23" s="144"/>
      <c r="O23" s="144"/>
      <c r="P23" s="144"/>
      <c r="Q23" s="144"/>
      <c r="R23" s="144"/>
      <c r="S23" s="144"/>
      <c r="T23" s="144"/>
      <c r="U23" s="144"/>
      <c r="V23" s="144"/>
      <c r="W23" s="144"/>
      <c r="X23" s="137">
        <f t="shared" si="0"/>
        <v>20.399999999999999</v>
      </c>
      <c r="Y23" s="138" t="s">
        <v>60</v>
      </c>
      <c r="Z23" s="135"/>
      <c r="AA23" s="136">
        <v>90</v>
      </c>
      <c r="AB23" s="136"/>
      <c r="AC23" s="137"/>
      <c r="AD23" s="135"/>
      <c r="AE23" s="137"/>
      <c r="AF23" s="135"/>
      <c r="AG23" s="137"/>
      <c r="AH23" s="108">
        <f t="shared" si="3"/>
        <v>18.36</v>
      </c>
      <c r="AI23" s="153"/>
      <c r="AJ23" s="136"/>
      <c r="AK23" s="136"/>
      <c r="AL23" s="136"/>
      <c r="AM23" s="136"/>
      <c r="AN23" s="136">
        <f>X23*AA23/100</f>
        <v>18.36</v>
      </c>
      <c r="AO23" s="136"/>
      <c r="AP23" s="136"/>
      <c r="AQ23" s="137"/>
      <c r="AV23" s="11"/>
    </row>
    <row r="24" spans="1:48" ht="15" customHeight="1" x14ac:dyDescent="0.25">
      <c r="A24" s="135"/>
      <c r="B24" s="136"/>
      <c r="C24" s="144"/>
      <c r="D24" s="144"/>
      <c r="E24" s="144"/>
      <c r="F24" s="144"/>
      <c r="G24" s="144"/>
      <c r="H24" s="144"/>
      <c r="I24" s="110">
        <v>706.5</v>
      </c>
      <c r="J24" s="144"/>
      <c r="K24" s="144"/>
      <c r="L24" s="144"/>
      <c r="M24" s="144"/>
      <c r="N24" s="144"/>
      <c r="O24" s="144"/>
      <c r="P24" s="144"/>
      <c r="Q24" s="144"/>
      <c r="R24" s="144"/>
      <c r="S24" s="144"/>
      <c r="T24" s="144"/>
      <c r="U24" s="144"/>
      <c r="V24" s="144"/>
      <c r="W24" s="144"/>
      <c r="X24" s="137">
        <f t="shared" si="0"/>
        <v>706.5</v>
      </c>
      <c r="Y24" s="138" t="s">
        <v>61</v>
      </c>
      <c r="Z24" s="135"/>
      <c r="AA24" s="136">
        <v>90</v>
      </c>
      <c r="AB24" s="136"/>
      <c r="AC24" s="137"/>
      <c r="AD24" s="135"/>
      <c r="AE24" s="137"/>
      <c r="AF24" s="135"/>
      <c r="AG24" s="137"/>
      <c r="AH24" s="108">
        <f t="shared" si="3"/>
        <v>635.85</v>
      </c>
      <c r="AI24" s="153"/>
      <c r="AJ24" s="136"/>
      <c r="AK24" s="136"/>
      <c r="AL24" s="136"/>
      <c r="AM24" s="136"/>
      <c r="AN24" s="136">
        <f>X24*AA24/100</f>
        <v>635.85</v>
      </c>
      <c r="AO24" s="136"/>
      <c r="AP24" s="136"/>
      <c r="AQ24" s="137"/>
      <c r="AS24" s="11"/>
    </row>
    <row r="25" spans="1:48" ht="15" customHeight="1" x14ac:dyDescent="0.25">
      <c r="A25" s="135"/>
      <c r="B25" s="136"/>
      <c r="C25" s="110"/>
      <c r="D25" s="110"/>
      <c r="E25" s="142"/>
      <c r="F25" s="142"/>
      <c r="G25" s="142"/>
      <c r="H25" s="142"/>
      <c r="I25" s="142"/>
      <c r="J25" s="142"/>
      <c r="K25" s="142"/>
      <c r="L25" s="142"/>
      <c r="M25" s="142"/>
      <c r="N25" s="142"/>
      <c r="O25" s="114"/>
      <c r="P25" s="142"/>
      <c r="Q25" s="142"/>
      <c r="R25" s="142"/>
      <c r="S25" s="110">
        <v>1</v>
      </c>
      <c r="T25" s="114"/>
      <c r="U25" s="142"/>
      <c r="V25" s="142"/>
      <c r="W25" s="110"/>
      <c r="X25" s="137">
        <f t="shared" si="0"/>
        <v>1</v>
      </c>
      <c r="Y25" s="138" t="s">
        <v>217</v>
      </c>
      <c r="Z25" s="135"/>
      <c r="AA25" s="136">
        <v>90</v>
      </c>
      <c r="AB25" s="136"/>
      <c r="AC25" s="137"/>
      <c r="AD25" s="135"/>
      <c r="AE25" s="137"/>
      <c r="AF25" s="135"/>
      <c r="AG25" s="137"/>
      <c r="AH25" s="108">
        <f t="shared" si="3"/>
        <v>0.9</v>
      </c>
      <c r="AI25" s="145"/>
      <c r="AJ25" s="144"/>
      <c r="AK25" s="144"/>
      <c r="AL25" s="144"/>
      <c r="AM25" s="144"/>
      <c r="AN25" s="144">
        <f>X25*AA25/100</f>
        <v>0.9</v>
      </c>
      <c r="AO25" s="144"/>
      <c r="AP25" s="144"/>
      <c r="AQ25" s="137"/>
      <c r="AR25" s="15"/>
      <c r="AS25" s="11"/>
    </row>
    <row r="26" spans="1:48" ht="15" customHeight="1" x14ac:dyDescent="0.25">
      <c r="A26" s="135"/>
      <c r="B26" s="136"/>
      <c r="C26" s="136"/>
      <c r="D26" s="136"/>
      <c r="E26" s="136"/>
      <c r="F26" s="136"/>
      <c r="G26" s="136"/>
      <c r="H26" s="144"/>
      <c r="I26" s="144"/>
      <c r="J26" s="144"/>
      <c r="K26" s="144"/>
      <c r="L26" s="335">
        <f>42+153</f>
        <v>195</v>
      </c>
      <c r="M26" s="144"/>
      <c r="N26" s="144"/>
      <c r="O26" s="144"/>
      <c r="P26" s="144"/>
      <c r="Q26" s="144"/>
      <c r="R26" s="144"/>
      <c r="S26" s="144"/>
      <c r="T26" s="144"/>
      <c r="U26" s="144"/>
      <c r="V26" s="144"/>
      <c r="W26" s="144"/>
      <c r="X26" s="137">
        <f t="shared" si="0"/>
        <v>195</v>
      </c>
      <c r="Y26" s="138" t="s">
        <v>45</v>
      </c>
      <c r="Z26" s="136">
        <v>100</v>
      </c>
      <c r="AA26" s="136"/>
      <c r="AB26" s="136"/>
      <c r="AC26" s="137"/>
      <c r="AD26" s="135">
        <f>X26*Z26/100</f>
        <v>195</v>
      </c>
      <c r="AE26" s="137"/>
      <c r="AF26" s="135"/>
      <c r="AG26" s="137"/>
      <c r="AH26" s="108">
        <f t="shared" si="3"/>
        <v>0</v>
      </c>
      <c r="AI26" s="145"/>
      <c r="AJ26" s="144"/>
      <c r="AK26" s="144"/>
      <c r="AL26" s="144"/>
      <c r="AM26" s="144"/>
      <c r="AN26" s="144"/>
      <c r="AO26" s="144"/>
      <c r="AP26" s="144"/>
      <c r="AQ26" s="137"/>
      <c r="AV26" s="11"/>
    </row>
    <row r="27" spans="1:48" ht="15" customHeight="1" x14ac:dyDescent="0.25">
      <c r="A27" s="135"/>
      <c r="B27" s="136"/>
      <c r="C27" s="136"/>
      <c r="D27" s="136"/>
      <c r="E27" s="136"/>
      <c r="F27" s="136"/>
      <c r="G27" s="136"/>
      <c r="H27" s="144"/>
      <c r="I27" s="144"/>
      <c r="J27" s="335">
        <f>1209.6+1311-325</f>
        <v>2195.6</v>
      </c>
      <c r="K27" s="144"/>
      <c r="L27" s="144"/>
      <c r="M27" s="144"/>
      <c r="N27" s="144"/>
      <c r="O27" s="144"/>
      <c r="P27" s="144"/>
      <c r="Q27" s="144"/>
      <c r="R27" s="144"/>
      <c r="S27" s="144"/>
      <c r="T27" s="144"/>
      <c r="U27" s="144"/>
      <c r="V27" s="144"/>
      <c r="W27" s="144"/>
      <c r="X27" s="137">
        <f t="shared" si="0"/>
        <v>2195.6</v>
      </c>
      <c r="Y27" s="138" t="s">
        <v>62</v>
      </c>
      <c r="Z27" s="136">
        <v>100</v>
      </c>
      <c r="AA27" s="136"/>
      <c r="AB27" s="136"/>
      <c r="AC27" s="137"/>
      <c r="AD27" s="135">
        <f>Z27*X27/100</f>
        <v>2195.6</v>
      </c>
      <c r="AE27" s="137"/>
      <c r="AF27" s="135"/>
      <c r="AG27" s="137"/>
      <c r="AH27" s="108">
        <f t="shared" si="3"/>
        <v>0</v>
      </c>
      <c r="AI27" s="145"/>
      <c r="AJ27" s="144"/>
      <c r="AK27" s="144"/>
      <c r="AL27" s="144"/>
      <c r="AM27" s="144"/>
      <c r="AN27" s="144"/>
      <c r="AO27" s="144"/>
      <c r="AP27" s="144"/>
      <c r="AQ27" s="137"/>
      <c r="AV27" s="11"/>
    </row>
    <row r="28" spans="1:48" ht="15" customHeight="1" x14ac:dyDescent="0.25">
      <c r="A28" s="135"/>
      <c r="B28" s="136"/>
      <c r="C28" s="136"/>
      <c r="D28" s="136"/>
      <c r="E28" s="136"/>
      <c r="F28" s="136"/>
      <c r="G28" s="136"/>
      <c r="H28" s="144"/>
      <c r="I28" s="144"/>
      <c r="J28" s="110"/>
      <c r="K28" s="144"/>
      <c r="L28" s="144"/>
      <c r="M28" s="144"/>
      <c r="N28" s="144"/>
      <c r="O28" s="144"/>
      <c r="P28" s="144"/>
      <c r="Q28" s="144"/>
      <c r="R28" s="144"/>
      <c r="S28" s="144"/>
      <c r="T28" s="144"/>
      <c r="U28" s="144"/>
      <c r="V28" s="144"/>
      <c r="W28" s="144"/>
      <c r="X28" s="137">
        <f t="shared" si="0"/>
        <v>0</v>
      </c>
      <c r="Y28" s="138" t="s">
        <v>124</v>
      </c>
      <c r="Z28" s="140">
        <v>100</v>
      </c>
      <c r="AA28" s="144"/>
      <c r="AB28" s="144"/>
      <c r="AC28" s="139"/>
      <c r="AD28" s="140">
        <f>Z28*X28/100</f>
        <v>0</v>
      </c>
      <c r="AE28" s="139"/>
      <c r="AF28" s="135"/>
      <c r="AG28" s="137"/>
      <c r="AH28" s="108">
        <f t="shared" si="3"/>
        <v>0</v>
      </c>
      <c r="AI28" s="145"/>
      <c r="AJ28" s="144"/>
      <c r="AK28" s="144"/>
      <c r="AL28" s="144"/>
      <c r="AM28" s="144"/>
      <c r="AN28" s="144"/>
      <c r="AO28" s="144"/>
      <c r="AP28" s="144"/>
      <c r="AQ28" s="137"/>
    </row>
    <row r="29" spans="1:48" ht="15" customHeight="1" x14ac:dyDescent="0.25">
      <c r="A29" s="135"/>
      <c r="B29" s="136"/>
      <c r="C29" s="136"/>
      <c r="D29" s="136"/>
      <c r="E29" s="136"/>
      <c r="F29" s="136"/>
      <c r="G29" s="136"/>
      <c r="H29" s="144"/>
      <c r="I29" s="144"/>
      <c r="J29" s="144"/>
      <c r="K29" s="110"/>
      <c r="L29" s="144"/>
      <c r="M29" s="144"/>
      <c r="N29" s="144"/>
      <c r="O29" s="144"/>
      <c r="P29" s="144"/>
      <c r="Q29" s="144"/>
      <c r="R29" s="144"/>
      <c r="S29" s="144"/>
      <c r="T29" s="144"/>
      <c r="U29" s="144"/>
      <c r="V29" s="144"/>
      <c r="W29" s="144"/>
      <c r="X29" s="137">
        <f t="shared" si="0"/>
        <v>0</v>
      </c>
      <c r="Y29" s="138" t="s">
        <v>7</v>
      </c>
      <c r="Z29" s="110">
        <v>100</v>
      </c>
      <c r="AA29" s="144"/>
      <c r="AB29" s="144"/>
      <c r="AC29" s="139"/>
      <c r="AD29" s="140">
        <f>Z29*X29/100</f>
        <v>0</v>
      </c>
      <c r="AE29" s="139"/>
      <c r="AF29" s="135"/>
      <c r="AG29" s="137"/>
      <c r="AH29" s="108">
        <f t="shared" si="3"/>
        <v>0</v>
      </c>
      <c r="AI29" s="145"/>
      <c r="AJ29" s="144"/>
      <c r="AK29" s="144"/>
      <c r="AL29" s="144"/>
      <c r="AM29" s="144"/>
      <c r="AN29" s="144"/>
      <c r="AO29" s="144"/>
      <c r="AP29" s="144"/>
      <c r="AQ29" s="137"/>
    </row>
    <row r="30" spans="1:48" ht="15" customHeight="1" x14ac:dyDescent="0.25">
      <c r="A30" s="135"/>
      <c r="B30" s="136"/>
      <c r="C30" s="136"/>
      <c r="D30" s="136"/>
      <c r="E30" s="136"/>
      <c r="F30" s="136"/>
      <c r="G30" s="136"/>
      <c r="H30" s="144"/>
      <c r="I30" s="144"/>
      <c r="J30" s="144"/>
      <c r="K30" s="144"/>
      <c r="L30" s="144"/>
      <c r="M30" s="144"/>
      <c r="N30" s="144"/>
      <c r="O30" s="144"/>
      <c r="P30" s="144"/>
      <c r="Q30" s="144"/>
      <c r="R30" s="144"/>
      <c r="S30" s="144"/>
      <c r="T30" s="144"/>
      <c r="U30" s="144"/>
      <c r="V30" s="144"/>
      <c r="W30" s="144"/>
      <c r="X30" s="137">
        <f t="shared" si="0"/>
        <v>0</v>
      </c>
      <c r="Y30" s="138" t="s">
        <v>8</v>
      </c>
      <c r="Z30" s="144">
        <v>100</v>
      </c>
      <c r="AA30" s="144"/>
      <c r="AB30" s="144"/>
      <c r="AC30" s="139"/>
      <c r="AD30" s="140">
        <f>Z30*X30/100</f>
        <v>0</v>
      </c>
      <c r="AE30" s="139"/>
      <c r="AF30" s="135"/>
      <c r="AG30" s="137"/>
      <c r="AH30" s="108">
        <f t="shared" si="3"/>
        <v>0</v>
      </c>
      <c r="AI30" s="145"/>
      <c r="AJ30" s="144"/>
      <c r="AK30" s="144"/>
      <c r="AL30" s="144"/>
      <c r="AM30" s="144"/>
      <c r="AN30" s="144"/>
      <c r="AO30" s="144"/>
      <c r="AP30" s="144"/>
      <c r="AQ30" s="137"/>
    </row>
    <row r="31" spans="1:48" s="1" customFormat="1" ht="15" customHeight="1" x14ac:dyDescent="0.25">
      <c r="A31" s="154"/>
      <c r="B31" s="136"/>
      <c r="C31" s="136"/>
      <c r="D31" s="136"/>
      <c r="E31" s="136"/>
      <c r="F31" s="136"/>
      <c r="G31" s="136"/>
      <c r="H31" s="144"/>
      <c r="I31" s="110">
        <f>-(O31+T31)*AA31%</f>
        <v>0</v>
      </c>
      <c r="J31" s="144"/>
      <c r="K31" s="144"/>
      <c r="L31" s="144"/>
      <c r="M31" s="144"/>
      <c r="N31" s="144"/>
      <c r="O31" s="144"/>
      <c r="P31" s="144"/>
      <c r="Q31" s="144"/>
      <c r="R31" s="144"/>
      <c r="S31" s="144"/>
      <c r="T31" s="144"/>
      <c r="U31" s="142"/>
      <c r="V31" s="142"/>
      <c r="W31" s="142"/>
      <c r="X31" s="137">
        <f t="shared" si="0"/>
        <v>0</v>
      </c>
      <c r="Y31" s="96" t="s">
        <v>216</v>
      </c>
      <c r="Z31" s="155"/>
      <c r="AA31" s="142">
        <v>100</v>
      </c>
      <c r="AB31" s="142"/>
      <c r="AC31" s="143"/>
      <c r="AD31" s="156"/>
      <c r="AE31" s="143"/>
      <c r="AF31" s="157"/>
      <c r="AG31" s="158"/>
      <c r="AH31" s="159"/>
      <c r="AI31" s="155"/>
      <c r="AJ31" s="142"/>
      <c r="AK31" s="142"/>
      <c r="AL31" s="142"/>
      <c r="AM31" s="142"/>
      <c r="AN31" s="142"/>
      <c r="AO31" s="142"/>
      <c r="AP31" s="142"/>
      <c r="AQ31" s="158"/>
    </row>
    <row r="32" spans="1:48" ht="15" customHeight="1" x14ac:dyDescent="0.25">
      <c r="A32" s="136"/>
      <c r="B32" s="136"/>
      <c r="C32" s="160"/>
      <c r="D32" s="160"/>
      <c r="E32" s="160"/>
      <c r="F32" s="160"/>
      <c r="G32" s="160"/>
      <c r="H32" s="161"/>
      <c r="I32" s="115"/>
      <c r="J32" s="161"/>
      <c r="K32" s="161"/>
      <c r="L32" s="161"/>
      <c r="M32" s="161"/>
      <c r="N32" s="142"/>
      <c r="O32" s="115"/>
      <c r="P32" s="161"/>
      <c r="Q32" s="161"/>
      <c r="R32" s="161"/>
      <c r="S32" s="161"/>
      <c r="T32" s="115"/>
      <c r="U32" s="161"/>
      <c r="V32" s="161"/>
      <c r="W32" s="161"/>
      <c r="X32" s="137">
        <f t="shared" si="0"/>
        <v>0</v>
      </c>
      <c r="Y32" s="96" t="s">
        <v>215</v>
      </c>
      <c r="Z32" s="113"/>
      <c r="AA32" s="142"/>
      <c r="AB32" s="142"/>
      <c r="AC32" s="143"/>
      <c r="AD32" s="140">
        <f>X32*Z32/100</f>
        <v>0</v>
      </c>
      <c r="AE32" s="139"/>
      <c r="AF32" s="140">
        <f>X32*AB32/100</f>
        <v>0</v>
      </c>
      <c r="AG32" s="139"/>
      <c r="AH32" s="108">
        <f>SUM(AI32:AQ32)</f>
        <v>0</v>
      </c>
      <c r="AI32" s="145"/>
      <c r="AJ32" s="142"/>
      <c r="AK32" s="142"/>
      <c r="AL32" s="142"/>
      <c r="AM32" s="142"/>
      <c r="AN32" s="142"/>
      <c r="AO32" s="142"/>
      <c r="AP32" s="142"/>
      <c r="AQ32" s="137"/>
    </row>
    <row r="33" spans="1:44" ht="15" customHeight="1" x14ac:dyDescent="0.25">
      <c r="A33" s="136"/>
      <c r="B33" s="136"/>
      <c r="C33" s="329">
        <f>9.3*0.96</f>
        <v>8.9280000000000008</v>
      </c>
      <c r="D33" s="115"/>
      <c r="E33" s="161"/>
      <c r="F33" s="161"/>
      <c r="G33" s="161"/>
      <c r="H33" s="161"/>
      <c r="I33" s="115"/>
      <c r="J33" s="161"/>
      <c r="K33" s="161"/>
      <c r="L33" s="161"/>
      <c r="M33" s="161"/>
      <c r="N33" s="161"/>
      <c r="O33" s="330">
        <f>(7.6*46%)*0.96</f>
        <v>3.35616</v>
      </c>
      <c r="P33" s="144"/>
      <c r="Q33" s="115"/>
      <c r="R33" s="330">
        <f>1915.4*0.96</f>
        <v>1838.7840000000001</v>
      </c>
      <c r="S33" s="330">
        <f>576.7*0.96</f>
        <v>553.63200000000006</v>
      </c>
      <c r="T33" s="330">
        <f>(7.6*54%)*0.96</f>
        <v>3.9398399999999998</v>
      </c>
      <c r="U33" s="161"/>
      <c r="V33" s="161"/>
      <c r="W33" s="161"/>
      <c r="X33" s="137">
        <f t="shared" si="0"/>
        <v>2408.6400000000003</v>
      </c>
      <c r="Y33" s="138" t="s">
        <v>39</v>
      </c>
      <c r="Z33" s="113">
        <v>19.600000000000001</v>
      </c>
      <c r="AA33" s="142"/>
      <c r="AB33" s="110">
        <v>79.7</v>
      </c>
      <c r="AC33" s="139"/>
      <c r="AD33" s="140">
        <f>X33*Z33/100</f>
        <v>472.0934400000001</v>
      </c>
      <c r="AE33" s="139"/>
      <c r="AF33" s="135">
        <f>X33*AB33/100</f>
        <v>1919.6860800000004</v>
      </c>
      <c r="AG33" s="137"/>
      <c r="AH33" s="108">
        <f t="shared" si="3"/>
        <v>0</v>
      </c>
      <c r="AI33" s="145"/>
      <c r="AJ33" s="144"/>
      <c r="AK33" s="144"/>
      <c r="AL33" s="144"/>
      <c r="AM33" s="144"/>
      <c r="AN33" s="144"/>
      <c r="AO33" s="144"/>
      <c r="AP33" s="144"/>
      <c r="AQ33" s="137"/>
    </row>
    <row r="34" spans="1:44" ht="15" customHeight="1" x14ac:dyDescent="0.25">
      <c r="A34" s="136"/>
      <c r="B34" s="136"/>
      <c r="C34" s="161"/>
      <c r="D34" s="161"/>
      <c r="E34" s="161"/>
      <c r="F34" s="161"/>
      <c r="G34" s="161"/>
      <c r="H34" s="161"/>
      <c r="I34" s="161"/>
      <c r="J34" s="161"/>
      <c r="K34" s="161"/>
      <c r="L34" s="161"/>
      <c r="M34" s="161"/>
      <c r="N34" s="161"/>
      <c r="O34" s="161"/>
      <c r="P34" s="161"/>
      <c r="Q34" s="161"/>
      <c r="R34" s="161"/>
      <c r="S34" s="161"/>
      <c r="T34" s="161"/>
      <c r="U34" s="161"/>
      <c r="V34" s="161"/>
      <c r="W34" s="161"/>
      <c r="X34" s="137">
        <f t="shared" si="0"/>
        <v>0</v>
      </c>
      <c r="Y34" s="138" t="s">
        <v>40</v>
      </c>
      <c r="Z34" s="156"/>
      <c r="AA34" s="142"/>
      <c r="AB34" s="142"/>
      <c r="AC34" s="139"/>
      <c r="AD34" s="140">
        <f>X34*Z34/100</f>
        <v>0</v>
      </c>
      <c r="AE34" s="139"/>
      <c r="AF34" s="135">
        <f>X34*AB34</f>
        <v>0</v>
      </c>
      <c r="AG34" s="137"/>
      <c r="AH34" s="108">
        <f t="shared" si="3"/>
        <v>0</v>
      </c>
      <c r="AI34" s="145"/>
      <c r="AJ34" s="144"/>
      <c r="AK34" s="144"/>
      <c r="AL34" s="144"/>
      <c r="AM34" s="144"/>
      <c r="AN34" s="144"/>
      <c r="AO34" s="144"/>
      <c r="AP34" s="144"/>
      <c r="AQ34" s="137"/>
    </row>
    <row r="35" spans="1:44" ht="15" customHeight="1" x14ac:dyDescent="0.25">
      <c r="A35" s="136"/>
      <c r="B35" s="136"/>
      <c r="C35" s="161"/>
      <c r="D35" s="161"/>
      <c r="E35" s="162"/>
      <c r="F35" s="161"/>
      <c r="G35" s="161"/>
      <c r="H35" s="161"/>
      <c r="I35" s="161"/>
      <c r="J35" s="161"/>
      <c r="K35" s="161"/>
      <c r="L35" s="161"/>
      <c r="M35" s="161"/>
      <c r="N35" s="161"/>
      <c r="O35" s="161"/>
      <c r="P35" s="161"/>
      <c r="Q35" s="161"/>
      <c r="R35" s="161"/>
      <c r="S35" s="161"/>
      <c r="T35" s="161"/>
      <c r="U35" s="161"/>
      <c r="V35" s="161"/>
      <c r="W35" s="161"/>
      <c r="X35" s="137">
        <f t="shared" si="0"/>
        <v>0</v>
      </c>
      <c r="Y35" s="138" t="s">
        <v>41</v>
      </c>
      <c r="Z35" s="156"/>
      <c r="AA35" s="142"/>
      <c r="AB35" s="142"/>
      <c r="AC35" s="139"/>
      <c r="AD35" s="140">
        <f>X35*Z35/100</f>
        <v>0</v>
      </c>
      <c r="AE35" s="139"/>
      <c r="AF35" s="135">
        <f>X35*AB35</f>
        <v>0</v>
      </c>
      <c r="AG35" s="137"/>
      <c r="AH35" s="108">
        <f t="shared" si="3"/>
        <v>0</v>
      </c>
      <c r="AI35" s="145"/>
      <c r="AJ35" s="144"/>
      <c r="AK35" s="144"/>
      <c r="AL35" s="144"/>
      <c r="AM35" s="144"/>
      <c r="AN35" s="144"/>
      <c r="AO35" s="144"/>
      <c r="AP35" s="144"/>
      <c r="AQ35" s="137"/>
    </row>
    <row r="36" spans="1:44" ht="15" customHeight="1" x14ac:dyDescent="0.25">
      <c r="A36" s="136"/>
      <c r="B36" s="136"/>
      <c r="C36" s="161"/>
      <c r="D36" s="161"/>
      <c r="E36" s="330">
        <f>11.1*0.96</f>
        <v>10.655999999999999</v>
      </c>
      <c r="F36" s="161"/>
      <c r="G36" s="161"/>
      <c r="H36" s="161"/>
      <c r="I36" s="161"/>
      <c r="J36" s="161"/>
      <c r="K36" s="161"/>
      <c r="L36" s="161"/>
      <c r="M36" s="161"/>
      <c r="N36" s="161"/>
      <c r="O36" s="161"/>
      <c r="P36" s="330">
        <f>22.2*0.96</f>
        <v>21.311999999999998</v>
      </c>
      <c r="Q36" s="161"/>
      <c r="R36" s="161"/>
      <c r="S36" s="161"/>
      <c r="T36" s="161"/>
      <c r="U36" s="161"/>
      <c r="V36" s="161"/>
      <c r="W36" s="161"/>
      <c r="X36" s="137">
        <f t="shared" si="0"/>
        <v>31.967999999999996</v>
      </c>
      <c r="Y36" s="138" t="s">
        <v>42</v>
      </c>
      <c r="Z36" s="156"/>
      <c r="AA36" s="142"/>
      <c r="AB36" s="110">
        <v>89.2</v>
      </c>
      <c r="AC36" s="139"/>
      <c r="AD36" s="140"/>
      <c r="AE36" s="139"/>
      <c r="AF36" s="135">
        <f>X36*AB36/100</f>
        <v>28.515456</v>
      </c>
      <c r="AG36" s="137"/>
      <c r="AH36" s="108">
        <f t="shared" si="3"/>
        <v>0</v>
      </c>
      <c r="AI36" s="145"/>
      <c r="AJ36" s="144"/>
      <c r="AK36" s="144"/>
      <c r="AL36" s="144"/>
      <c r="AM36" s="144"/>
      <c r="AN36" s="144"/>
      <c r="AO36" s="144"/>
      <c r="AP36" s="144"/>
      <c r="AQ36" s="137"/>
    </row>
    <row r="37" spans="1:44" s="1" customFormat="1" ht="15" customHeight="1" x14ac:dyDescent="0.25">
      <c r="A37" s="163"/>
      <c r="B37" s="163"/>
      <c r="C37" s="163"/>
      <c r="D37" s="142"/>
      <c r="E37" s="142"/>
      <c r="F37" s="142"/>
      <c r="G37" s="142"/>
      <c r="H37" s="142"/>
      <c r="I37" s="142"/>
      <c r="J37" s="142"/>
      <c r="K37" s="142"/>
      <c r="L37" s="142"/>
      <c r="M37" s="142"/>
      <c r="N37" s="110">
        <f>AF37-AE37</f>
        <v>0</v>
      </c>
      <c r="O37" s="142"/>
      <c r="P37" s="142"/>
      <c r="Q37" s="142"/>
      <c r="R37" s="142"/>
      <c r="S37" s="142"/>
      <c r="T37" s="142"/>
      <c r="U37" s="142"/>
      <c r="V37" s="142"/>
      <c r="W37" s="142"/>
      <c r="X37" s="137">
        <f t="shared" si="0"/>
        <v>0</v>
      </c>
      <c r="Y37" s="96" t="s">
        <v>213</v>
      </c>
      <c r="Z37" s="140"/>
      <c r="AA37" s="144"/>
      <c r="AB37" s="144"/>
      <c r="AC37" s="139"/>
      <c r="AD37" s="156">
        <f>-AE37/$D$2%</f>
        <v>0</v>
      </c>
      <c r="AE37" s="164"/>
      <c r="AF37" s="165">
        <f>AE37*AB37%</f>
        <v>0</v>
      </c>
      <c r="AG37" s="158"/>
      <c r="AH37" s="159"/>
      <c r="AI37" s="155"/>
      <c r="AJ37" s="155"/>
      <c r="AK37" s="142"/>
      <c r="AL37" s="142"/>
      <c r="AM37" s="142"/>
      <c r="AN37" s="142"/>
      <c r="AO37" s="142"/>
      <c r="AP37" s="142"/>
      <c r="AQ37" s="158"/>
    </row>
    <row r="38" spans="1:44" ht="15" customHeight="1" x14ac:dyDescent="0.25">
      <c r="A38" s="163"/>
      <c r="B38" s="163"/>
      <c r="C38" s="163"/>
      <c r="D38" s="142"/>
      <c r="E38" s="142"/>
      <c r="F38" s="142"/>
      <c r="G38" s="142"/>
      <c r="H38" s="142"/>
      <c r="I38" s="142"/>
      <c r="J38" s="142"/>
      <c r="K38" s="142"/>
      <c r="L38" s="142"/>
      <c r="M38" s="142"/>
      <c r="N38" s="142"/>
      <c r="O38" s="142"/>
      <c r="P38" s="142"/>
      <c r="Q38" s="142"/>
      <c r="R38" s="142"/>
      <c r="S38" s="142"/>
      <c r="T38" s="142"/>
      <c r="U38" s="142"/>
      <c r="V38" s="142"/>
      <c r="W38" s="142"/>
      <c r="X38" s="137">
        <f t="shared" si="0"/>
        <v>0</v>
      </c>
      <c r="Y38" s="96" t="s">
        <v>214</v>
      </c>
      <c r="Z38" s="140"/>
      <c r="AA38" s="144"/>
      <c r="AB38" s="144"/>
      <c r="AC38" s="139"/>
      <c r="AD38" s="156">
        <f>-AE38/$D$2%</f>
        <v>0</v>
      </c>
      <c r="AE38" s="139"/>
      <c r="AF38" s="140">
        <f>AE38*AB38%</f>
        <v>0</v>
      </c>
      <c r="AG38" s="158"/>
      <c r="AH38" s="159"/>
      <c r="AI38" s="155"/>
      <c r="AJ38" s="155"/>
      <c r="AK38" s="142"/>
      <c r="AL38" s="142"/>
      <c r="AM38" s="142"/>
      <c r="AN38" s="142"/>
      <c r="AO38" s="142"/>
      <c r="AP38" s="142"/>
      <c r="AQ38" s="158"/>
    </row>
    <row r="39" spans="1:44" ht="15" customHeight="1" x14ac:dyDescent="0.25">
      <c r="A39" s="136"/>
      <c r="B39" s="136"/>
      <c r="C39" s="161"/>
      <c r="D39" s="161"/>
      <c r="E39" s="161"/>
      <c r="F39" s="161"/>
      <c r="G39" s="161"/>
      <c r="H39" s="161"/>
      <c r="I39" s="161"/>
      <c r="J39" s="161"/>
      <c r="K39" s="161"/>
      <c r="L39" s="161"/>
      <c r="M39" s="161"/>
      <c r="N39" s="161"/>
      <c r="O39" s="161"/>
      <c r="P39" s="161"/>
      <c r="Q39" s="161"/>
      <c r="R39" s="161"/>
      <c r="S39" s="161"/>
      <c r="T39" s="161"/>
      <c r="U39" s="161"/>
      <c r="V39" s="161"/>
      <c r="W39" s="161"/>
      <c r="X39" s="137">
        <f t="shared" si="0"/>
        <v>0</v>
      </c>
      <c r="Y39" s="138" t="s">
        <v>63</v>
      </c>
      <c r="Z39" s="156"/>
      <c r="AA39" s="142"/>
      <c r="AB39" s="142"/>
      <c r="AC39" s="112">
        <f>100-22.83</f>
        <v>77.17</v>
      </c>
      <c r="AD39" s="140"/>
      <c r="AE39" s="139"/>
      <c r="AF39" s="135">
        <f>-SUM(AF33:AF38)</f>
        <v>-1948.2015360000005</v>
      </c>
      <c r="AG39" s="137">
        <f>-AF39*AC39/100</f>
        <v>1503.4271253312004</v>
      </c>
      <c r="AH39" s="108">
        <f>SUM(AI39:AQ39)</f>
        <v>1504.9305524565316</v>
      </c>
      <c r="AI39" s="111">
        <f>AG39*65.2%</f>
        <v>980.2344857159427</v>
      </c>
      <c r="AJ39" s="111">
        <f>AG39*9.9%</f>
        <v>148.83928540778885</v>
      </c>
      <c r="AK39" s="110">
        <f>AG39*13.3%</f>
        <v>199.95580766904968</v>
      </c>
      <c r="AL39" s="110">
        <f>AG39*7%</f>
        <v>105.23989877318404</v>
      </c>
      <c r="AM39" s="110">
        <f>AG39*0%</f>
        <v>0</v>
      </c>
      <c r="AN39" s="110">
        <f>AG39*3.2%</f>
        <v>48.109668010598412</v>
      </c>
      <c r="AO39" s="110">
        <f>AG39*1.5%</f>
        <v>22.551406879968006</v>
      </c>
      <c r="AP39" s="110"/>
      <c r="AQ39" s="137"/>
      <c r="AR39" s="19"/>
    </row>
    <row r="40" spans="1:44" ht="15" customHeight="1" x14ac:dyDescent="0.25">
      <c r="A40" s="136"/>
      <c r="B40" s="136"/>
      <c r="C40" s="161"/>
      <c r="D40" s="161"/>
      <c r="E40" s="115"/>
      <c r="F40" s="161"/>
      <c r="G40" s="161"/>
      <c r="H40" s="161"/>
      <c r="I40" s="161"/>
      <c r="J40" s="161"/>
      <c r="K40" s="161"/>
      <c r="L40" s="161"/>
      <c r="M40" s="161"/>
      <c r="N40" s="161"/>
      <c r="O40" s="115"/>
      <c r="P40" s="161"/>
      <c r="Q40" s="115"/>
      <c r="R40" s="166"/>
      <c r="S40" s="115"/>
      <c r="T40" s="115"/>
      <c r="U40" s="115"/>
      <c r="V40" s="161"/>
      <c r="W40" s="115"/>
      <c r="X40" s="137">
        <f t="shared" si="0"/>
        <v>0</v>
      </c>
      <c r="Y40" s="138" t="s">
        <v>13</v>
      </c>
      <c r="Z40" s="113"/>
      <c r="AA40" s="142"/>
      <c r="AB40" s="110"/>
      <c r="AC40" s="143"/>
      <c r="AD40" s="140">
        <f>X40*Z40/100</f>
        <v>0</v>
      </c>
      <c r="AE40" s="139"/>
      <c r="AF40" s="135">
        <f>X40*AB40/100</f>
        <v>0</v>
      </c>
      <c r="AG40" s="137"/>
      <c r="AH40" s="108">
        <f t="shared" si="3"/>
        <v>0</v>
      </c>
      <c r="AI40" s="155"/>
      <c r="AJ40" s="142"/>
      <c r="AK40" s="142"/>
      <c r="AL40" s="142"/>
      <c r="AM40" s="142"/>
      <c r="AN40" s="142"/>
      <c r="AO40" s="142"/>
      <c r="AP40" s="144"/>
      <c r="AQ40" s="137"/>
    </row>
    <row r="41" spans="1:44" ht="15" customHeight="1" x14ac:dyDescent="0.25">
      <c r="A41" s="136"/>
      <c r="B41" s="136"/>
      <c r="C41" s="161"/>
      <c r="D41" s="161"/>
      <c r="E41" s="115"/>
      <c r="F41" s="161"/>
      <c r="G41" s="161"/>
      <c r="H41" s="161"/>
      <c r="I41" s="161"/>
      <c r="J41" s="161"/>
      <c r="K41" s="161"/>
      <c r="L41" s="161"/>
      <c r="M41" s="161"/>
      <c r="N41" s="161"/>
      <c r="O41" s="161"/>
      <c r="P41" s="161"/>
      <c r="Q41" s="161"/>
      <c r="R41" s="161"/>
      <c r="S41" s="115"/>
      <c r="T41" s="161"/>
      <c r="U41" s="115"/>
      <c r="V41" s="161"/>
      <c r="W41" s="115"/>
      <c r="X41" s="137">
        <f t="shared" si="0"/>
        <v>0</v>
      </c>
      <c r="Y41" s="138" t="s">
        <v>14</v>
      </c>
      <c r="Z41" s="156"/>
      <c r="AA41" s="142"/>
      <c r="AB41" s="110"/>
      <c r="AC41" s="143"/>
      <c r="AD41" s="140">
        <f>X41*Z41/100</f>
        <v>0</v>
      </c>
      <c r="AE41" s="139"/>
      <c r="AF41" s="135">
        <f>X41*AB41/100</f>
        <v>0</v>
      </c>
      <c r="AG41" s="137"/>
      <c r="AH41" s="108">
        <f t="shared" si="3"/>
        <v>0</v>
      </c>
      <c r="AI41" s="155"/>
      <c r="AJ41" s="142"/>
      <c r="AK41" s="142"/>
      <c r="AL41" s="142"/>
      <c r="AM41" s="142"/>
      <c r="AN41" s="142"/>
      <c r="AO41" s="142"/>
      <c r="AP41" s="144"/>
      <c r="AQ41" s="137"/>
    </row>
    <row r="42" spans="1:44" ht="15" customHeight="1" x14ac:dyDescent="0.25">
      <c r="A42" s="136"/>
      <c r="B42" s="144"/>
      <c r="C42" s="161"/>
      <c r="D42" s="161"/>
      <c r="E42" s="161"/>
      <c r="F42" s="161"/>
      <c r="G42" s="161"/>
      <c r="H42" s="161"/>
      <c r="I42" s="161"/>
      <c r="J42" s="161"/>
      <c r="K42" s="161"/>
      <c r="L42" s="161"/>
      <c r="M42" s="161"/>
      <c r="N42" s="161"/>
      <c r="O42" s="161"/>
      <c r="P42" s="161"/>
      <c r="Q42" s="161"/>
      <c r="R42" s="161"/>
      <c r="S42" s="161"/>
      <c r="T42" s="161"/>
      <c r="U42" s="115"/>
      <c r="V42" s="161"/>
      <c r="W42" s="115"/>
      <c r="X42" s="137">
        <f t="shared" si="0"/>
        <v>0</v>
      </c>
      <c r="Y42" s="138" t="s">
        <v>15</v>
      </c>
      <c r="Z42" s="156"/>
      <c r="AA42" s="142"/>
      <c r="AB42" s="142"/>
      <c r="AC42" s="143"/>
      <c r="AD42" s="140">
        <f>X42*Z42/100</f>
        <v>0</v>
      </c>
      <c r="AE42" s="139"/>
      <c r="AF42" s="135">
        <f>X42*AB42/100</f>
        <v>0</v>
      </c>
      <c r="AG42" s="137"/>
      <c r="AH42" s="108">
        <f t="shared" si="3"/>
        <v>0</v>
      </c>
      <c r="AI42" s="155"/>
      <c r="AJ42" s="142"/>
      <c r="AK42" s="142"/>
      <c r="AL42" s="142"/>
      <c r="AM42" s="142"/>
      <c r="AN42" s="142"/>
      <c r="AO42" s="142"/>
      <c r="AP42" s="144"/>
      <c r="AQ42" s="137"/>
    </row>
    <row r="43" spans="1:44" ht="15" customHeight="1" x14ac:dyDescent="0.25">
      <c r="A43" s="136"/>
      <c r="B43" s="136"/>
      <c r="C43" s="161"/>
      <c r="D43" s="161"/>
      <c r="E43" s="161"/>
      <c r="F43" s="161"/>
      <c r="G43" s="161"/>
      <c r="H43" s="161"/>
      <c r="I43" s="161"/>
      <c r="J43" s="161"/>
      <c r="K43" s="161"/>
      <c r="L43" s="161"/>
      <c r="M43" s="161"/>
      <c r="N43" s="161"/>
      <c r="O43" s="161"/>
      <c r="P43" s="161"/>
      <c r="Q43" s="161"/>
      <c r="R43" s="161"/>
      <c r="S43" s="161"/>
      <c r="T43" s="161"/>
      <c r="U43" s="161"/>
      <c r="V43" s="161"/>
      <c r="W43" s="161"/>
      <c r="X43" s="137">
        <f t="shared" si="0"/>
        <v>0</v>
      </c>
      <c r="Y43" s="138" t="s">
        <v>64</v>
      </c>
      <c r="Z43" s="156"/>
      <c r="AA43" s="142"/>
      <c r="AB43" s="142"/>
      <c r="AC43" s="112">
        <f>100-22.83</f>
        <v>77.17</v>
      </c>
      <c r="AD43" s="140"/>
      <c r="AE43" s="139"/>
      <c r="AF43" s="135">
        <f>-SUM(AF40:AF42)</f>
        <v>0</v>
      </c>
      <c r="AG43" s="137">
        <f>-AF43*AC43/100</f>
        <v>0</v>
      </c>
      <c r="AH43" s="108">
        <f t="shared" si="3"/>
        <v>0</v>
      </c>
      <c r="AI43" s="111">
        <f>AG43*65.2%</f>
        <v>0</v>
      </c>
      <c r="AJ43" s="111">
        <f>AG43*9.9%</f>
        <v>0</v>
      </c>
      <c r="AK43" s="110">
        <f>AG43*13.3%</f>
        <v>0</v>
      </c>
      <c r="AL43" s="110">
        <f>AG43*7%</f>
        <v>0</v>
      </c>
      <c r="AM43" s="110">
        <f>AG43*0%</f>
        <v>0</v>
      </c>
      <c r="AN43" s="110">
        <f>AG43*3.2%</f>
        <v>0</v>
      </c>
      <c r="AO43" s="110">
        <f>AG43*1.5%</f>
        <v>0</v>
      </c>
      <c r="AP43" s="110"/>
      <c r="AQ43" s="137"/>
    </row>
    <row r="44" spans="1:44" ht="15" customHeight="1" x14ac:dyDescent="0.25">
      <c r="A44" s="136"/>
      <c r="B44" s="110"/>
      <c r="C44" s="116"/>
      <c r="D44" s="161"/>
      <c r="E44" s="116"/>
      <c r="F44" s="161"/>
      <c r="G44" s="161"/>
      <c r="H44" s="161"/>
      <c r="I44" s="115"/>
      <c r="J44" s="161"/>
      <c r="K44" s="161"/>
      <c r="L44" s="161"/>
      <c r="M44" s="161"/>
      <c r="N44" s="161"/>
      <c r="O44" s="115"/>
      <c r="P44" s="161"/>
      <c r="Q44" s="116"/>
      <c r="R44" s="115"/>
      <c r="S44" s="115"/>
      <c r="T44" s="115"/>
      <c r="U44" s="115"/>
      <c r="V44" s="161"/>
      <c r="W44" s="115"/>
      <c r="X44" s="137">
        <f t="shared" si="0"/>
        <v>0</v>
      </c>
      <c r="Y44" s="138" t="s">
        <v>43</v>
      </c>
      <c r="Z44" s="113"/>
      <c r="AA44" s="142"/>
      <c r="AB44" s="110"/>
      <c r="AC44" s="143"/>
      <c r="AD44" s="135">
        <f>X44*Z44/100</f>
        <v>0</v>
      </c>
      <c r="AE44" s="137"/>
      <c r="AF44" s="135">
        <f t="shared" ref="AF44:AF51" si="5">X44*AB44/100</f>
        <v>0</v>
      </c>
      <c r="AG44" s="137"/>
      <c r="AH44" s="108">
        <f t="shared" si="3"/>
        <v>0</v>
      </c>
      <c r="AI44" s="145"/>
      <c r="AJ44" s="144"/>
      <c r="AK44" s="144"/>
      <c r="AL44" s="144"/>
      <c r="AM44" s="144"/>
      <c r="AN44" s="144"/>
      <c r="AO44" s="144"/>
      <c r="AP44" s="144"/>
      <c r="AQ44" s="137"/>
    </row>
    <row r="45" spans="1:44" ht="15" customHeight="1" x14ac:dyDescent="0.25">
      <c r="A45" s="136"/>
      <c r="B45" s="144"/>
      <c r="C45" s="161"/>
      <c r="D45" s="161"/>
      <c r="E45" s="161"/>
      <c r="F45" s="161"/>
      <c r="G45" s="161"/>
      <c r="H45" s="161"/>
      <c r="I45" s="330">
        <f>(101.6-64.82)*0.96</f>
        <v>35.308799999999998</v>
      </c>
      <c r="J45" s="161"/>
      <c r="K45" s="161"/>
      <c r="L45" s="161"/>
      <c r="M45" s="161"/>
      <c r="N45" s="161"/>
      <c r="O45" s="115"/>
      <c r="P45" s="161"/>
      <c r="Q45" s="161"/>
      <c r="R45" s="161"/>
      <c r="S45" s="115"/>
      <c r="T45" s="115"/>
      <c r="U45" s="161"/>
      <c r="V45" s="161"/>
      <c r="W45" s="161"/>
      <c r="X45" s="137">
        <f t="shared" si="0"/>
        <v>35.308799999999998</v>
      </c>
      <c r="Y45" s="138" t="s">
        <v>44</v>
      </c>
      <c r="Z45" s="113">
        <v>39.1</v>
      </c>
      <c r="AA45" s="142"/>
      <c r="AB45" s="110">
        <v>53.4</v>
      </c>
      <c r="AC45" s="143"/>
      <c r="AD45" s="135">
        <f>X45*Z45/100</f>
        <v>13.805740799999999</v>
      </c>
      <c r="AE45" s="137"/>
      <c r="AF45" s="135">
        <f t="shared" si="5"/>
        <v>18.854899199999998</v>
      </c>
      <c r="AG45" s="137"/>
      <c r="AH45" s="108">
        <f t="shared" si="3"/>
        <v>0</v>
      </c>
      <c r="AI45" s="145"/>
      <c r="AJ45" s="144"/>
      <c r="AK45" s="144"/>
      <c r="AL45" s="144"/>
      <c r="AM45" s="144"/>
      <c r="AN45" s="144"/>
      <c r="AO45" s="144"/>
      <c r="AP45" s="144"/>
      <c r="AQ45" s="137"/>
    </row>
    <row r="46" spans="1:44" ht="15" customHeight="1" x14ac:dyDescent="0.25">
      <c r="A46" s="136"/>
      <c r="B46" s="136"/>
      <c r="C46" s="161"/>
      <c r="D46" s="161"/>
      <c r="E46" s="161"/>
      <c r="F46" s="161"/>
      <c r="G46" s="161"/>
      <c r="H46" s="161"/>
      <c r="I46" s="115"/>
      <c r="J46" s="161"/>
      <c r="K46" s="161"/>
      <c r="L46" s="161"/>
      <c r="M46" s="161"/>
      <c r="N46" s="161"/>
      <c r="O46" s="161"/>
      <c r="P46" s="161"/>
      <c r="Q46" s="161"/>
      <c r="R46" s="161"/>
      <c r="S46" s="162"/>
      <c r="T46" s="161"/>
      <c r="U46" s="161"/>
      <c r="V46" s="161"/>
      <c r="W46" s="161"/>
      <c r="X46" s="137">
        <f t="shared" si="0"/>
        <v>0</v>
      </c>
      <c r="Y46" s="138" t="s">
        <v>29</v>
      </c>
      <c r="Z46" s="113"/>
      <c r="AA46" s="142"/>
      <c r="AB46" s="110"/>
      <c r="AC46" s="143"/>
      <c r="AD46" s="135">
        <f>X46*Z46/100</f>
        <v>0</v>
      </c>
      <c r="AE46" s="137"/>
      <c r="AF46" s="135">
        <f t="shared" si="5"/>
        <v>0</v>
      </c>
      <c r="AG46" s="137"/>
      <c r="AH46" s="108">
        <f t="shared" si="3"/>
        <v>0</v>
      </c>
      <c r="AI46" s="145"/>
      <c r="AJ46" s="144"/>
      <c r="AK46" s="144"/>
      <c r="AL46" s="144"/>
      <c r="AM46" s="144"/>
      <c r="AN46" s="144"/>
      <c r="AO46" s="144"/>
      <c r="AP46" s="144"/>
      <c r="AQ46" s="137"/>
    </row>
    <row r="47" spans="1:44" ht="15" customHeight="1" x14ac:dyDescent="0.25">
      <c r="A47" s="136"/>
      <c r="B47" s="136"/>
      <c r="C47" s="161"/>
      <c r="D47" s="115"/>
      <c r="E47" s="115"/>
      <c r="F47" s="161"/>
      <c r="G47" s="161"/>
      <c r="H47" s="161"/>
      <c r="I47" s="330">
        <f>(54.3-18.6-12.338)*0.96</f>
        <v>22.427519999999994</v>
      </c>
      <c r="J47" s="161"/>
      <c r="K47" s="161"/>
      <c r="L47" s="161"/>
      <c r="M47" s="161"/>
      <c r="N47" s="161"/>
      <c r="O47" s="115"/>
      <c r="P47" s="115"/>
      <c r="Q47" s="330">
        <f>43*0.96</f>
        <v>41.28</v>
      </c>
      <c r="R47" s="115"/>
      <c r="S47" s="330">
        <f>18.9*0.96</f>
        <v>18.143999999999998</v>
      </c>
      <c r="T47" s="115"/>
      <c r="U47" s="161"/>
      <c r="V47" s="161"/>
      <c r="W47" s="161"/>
      <c r="X47" s="137">
        <f t="shared" si="0"/>
        <v>81.851519999999994</v>
      </c>
      <c r="Y47" s="138" t="s">
        <v>30</v>
      </c>
      <c r="Z47" s="156"/>
      <c r="AA47" s="142"/>
      <c r="AB47" s="110">
        <v>94.1</v>
      </c>
      <c r="AC47" s="143"/>
      <c r="AD47" s="135">
        <f>X47*Z47/100</f>
        <v>0</v>
      </c>
      <c r="AE47" s="137"/>
      <c r="AF47" s="135">
        <f t="shared" si="5"/>
        <v>77.022280319999993</v>
      </c>
      <c r="AG47" s="137"/>
      <c r="AH47" s="108">
        <f t="shared" si="3"/>
        <v>0</v>
      </c>
      <c r="AI47" s="145"/>
      <c r="AJ47" s="144"/>
      <c r="AK47" s="144"/>
      <c r="AL47" s="144"/>
      <c r="AM47" s="144"/>
      <c r="AN47" s="144"/>
      <c r="AO47" s="144"/>
      <c r="AP47" s="144"/>
      <c r="AQ47" s="137"/>
    </row>
    <row r="48" spans="1:44" s="1" customFormat="1" ht="15" customHeight="1" x14ac:dyDescent="0.25">
      <c r="A48" s="163"/>
      <c r="B48" s="163"/>
      <c r="C48" s="160"/>
      <c r="D48" s="160"/>
      <c r="E48" s="160"/>
      <c r="F48" s="160"/>
      <c r="G48" s="160"/>
      <c r="H48" s="160"/>
      <c r="I48" s="161"/>
      <c r="J48" s="161"/>
      <c r="K48" s="160"/>
      <c r="L48" s="160"/>
      <c r="M48" s="160"/>
      <c r="N48" s="110">
        <f>AF48-AE48</f>
        <v>25</v>
      </c>
      <c r="O48" s="161"/>
      <c r="P48" s="161"/>
      <c r="Q48" s="161"/>
      <c r="R48" s="161"/>
      <c r="S48" s="161"/>
      <c r="T48" s="161"/>
      <c r="U48" s="161"/>
      <c r="V48" s="161"/>
      <c r="W48" s="161"/>
      <c r="X48" s="137">
        <f t="shared" si="0"/>
        <v>25</v>
      </c>
      <c r="Y48" s="138" t="s">
        <v>116</v>
      </c>
      <c r="Z48" s="140"/>
      <c r="AA48" s="144"/>
      <c r="AB48" s="329">
        <v>350</v>
      </c>
      <c r="AC48" s="139"/>
      <c r="AD48" s="156">
        <f>-AE48/$D$2%</f>
        <v>-10.887316276537833</v>
      </c>
      <c r="AE48" s="403">
        <v>10</v>
      </c>
      <c r="AF48" s="140">
        <f>AE48*AB48%</f>
        <v>35</v>
      </c>
      <c r="AG48" s="143"/>
      <c r="AH48" s="159"/>
      <c r="AI48" s="155"/>
      <c r="AJ48" s="142"/>
      <c r="AK48" s="142"/>
      <c r="AL48" s="142"/>
      <c r="AM48" s="142"/>
      <c r="AN48" s="142"/>
      <c r="AO48" s="142"/>
      <c r="AP48" s="142"/>
      <c r="AQ48" s="158"/>
    </row>
    <row r="49" spans="1:43" s="1" customFormat="1" ht="15" customHeight="1" x14ac:dyDescent="0.25">
      <c r="A49" s="163"/>
      <c r="B49" s="163"/>
      <c r="C49" s="160"/>
      <c r="D49" s="160"/>
      <c r="E49" s="160"/>
      <c r="F49" s="160"/>
      <c r="G49" s="160"/>
      <c r="H49" s="160"/>
      <c r="I49" s="161"/>
      <c r="J49" s="161"/>
      <c r="K49" s="160"/>
      <c r="L49" s="160"/>
      <c r="M49" s="160"/>
      <c r="N49" s="144"/>
      <c r="O49" s="161"/>
      <c r="P49" s="161"/>
      <c r="Q49" s="161"/>
      <c r="R49" s="161"/>
      <c r="S49" s="161"/>
      <c r="T49" s="161"/>
      <c r="U49" s="161"/>
      <c r="V49" s="161"/>
      <c r="W49" s="161"/>
      <c r="X49" s="137">
        <f t="shared" si="0"/>
        <v>0</v>
      </c>
      <c r="Y49" s="138" t="s">
        <v>117</v>
      </c>
      <c r="Z49" s="140"/>
      <c r="AA49" s="144"/>
      <c r="AB49" s="110">
        <v>100.2</v>
      </c>
      <c r="AC49" s="139"/>
      <c r="AD49" s="156">
        <f>-AE49/$D$2%</f>
        <v>-13.432770821992378</v>
      </c>
      <c r="AE49" s="403">
        <v>12.337999999999999</v>
      </c>
      <c r="AF49" s="156">
        <f>AE49*AB49%</f>
        <v>12.362675999999999</v>
      </c>
      <c r="AG49" s="143"/>
      <c r="AH49" s="159"/>
      <c r="AI49" s="155"/>
      <c r="AJ49" s="142"/>
      <c r="AK49" s="142"/>
      <c r="AL49" s="142"/>
      <c r="AM49" s="142"/>
      <c r="AN49" s="142"/>
      <c r="AO49" s="142"/>
      <c r="AP49" s="142"/>
      <c r="AQ49" s="158"/>
    </row>
    <row r="50" spans="1:43" ht="15" customHeight="1" x14ac:dyDescent="0.25">
      <c r="A50" s="136"/>
      <c r="B50" s="136"/>
      <c r="C50" s="160"/>
      <c r="D50" s="160"/>
      <c r="E50" s="160"/>
      <c r="F50" s="160"/>
      <c r="G50" s="160"/>
      <c r="H50" s="160"/>
      <c r="I50" s="160"/>
      <c r="J50" s="160"/>
      <c r="K50" s="160"/>
      <c r="L50" s="115"/>
      <c r="M50" s="160"/>
      <c r="N50" s="142"/>
      <c r="O50" s="161"/>
      <c r="P50" s="161"/>
      <c r="Q50" s="161"/>
      <c r="R50" s="161"/>
      <c r="S50" s="161"/>
      <c r="T50" s="161"/>
      <c r="U50" s="161"/>
      <c r="V50" s="161"/>
      <c r="W50" s="161"/>
      <c r="X50" s="137">
        <f t="shared" si="0"/>
        <v>0</v>
      </c>
      <c r="Y50" s="167" t="s">
        <v>36</v>
      </c>
      <c r="Z50" s="156"/>
      <c r="AA50" s="142"/>
      <c r="AB50" s="110">
        <v>100</v>
      </c>
      <c r="AC50" s="143"/>
      <c r="AD50" s="135"/>
      <c r="AE50" s="137"/>
      <c r="AF50" s="135">
        <f t="shared" si="5"/>
        <v>0</v>
      </c>
      <c r="AG50" s="137"/>
      <c r="AH50" s="108">
        <f t="shared" si="3"/>
        <v>0</v>
      </c>
      <c r="AI50" s="145"/>
      <c r="AJ50" s="144"/>
      <c r="AK50" s="144"/>
      <c r="AL50" s="144"/>
      <c r="AM50" s="144"/>
      <c r="AN50" s="144"/>
      <c r="AO50" s="144"/>
      <c r="AP50" s="144"/>
      <c r="AQ50" s="137"/>
    </row>
    <row r="51" spans="1:43" ht="15" customHeight="1" x14ac:dyDescent="0.25">
      <c r="A51" s="144"/>
      <c r="B51" s="110"/>
      <c r="C51" s="161"/>
      <c r="D51" s="161"/>
      <c r="E51" s="115"/>
      <c r="F51" s="161"/>
      <c r="G51" s="161"/>
      <c r="H51" s="161"/>
      <c r="I51" s="115"/>
      <c r="J51" s="161"/>
      <c r="K51" s="161"/>
      <c r="L51" s="161"/>
      <c r="M51" s="161"/>
      <c r="N51" s="142"/>
      <c r="O51" s="161"/>
      <c r="P51" s="161"/>
      <c r="Q51" s="161"/>
      <c r="R51" s="115"/>
      <c r="S51" s="115"/>
      <c r="T51" s="161"/>
      <c r="U51" s="115"/>
      <c r="V51" s="161"/>
      <c r="W51" s="115"/>
      <c r="X51" s="137">
        <f t="shared" si="0"/>
        <v>0</v>
      </c>
      <c r="Y51" s="138" t="s">
        <v>31</v>
      </c>
      <c r="Z51" s="113"/>
      <c r="AA51" s="142"/>
      <c r="AB51" s="110"/>
      <c r="AC51" s="143"/>
      <c r="AD51" s="135">
        <f>X51*Z51/100</f>
        <v>0</v>
      </c>
      <c r="AE51" s="137"/>
      <c r="AF51" s="135">
        <f t="shared" si="5"/>
        <v>0</v>
      </c>
      <c r="AG51" s="137"/>
      <c r="AH51" s="108">
        <f t="shared" si="3"/>
        <v>0</v>
      </c>
      <c r="AI51" s="145"/>
      <c r="AJ51" s="144"/>
      <c r="AK51" s="144"/>
      <c r="AL51" s="144"/>
      <c r="AM51" s="144"/>
      <c r="AN51" s="144"/>
      <c r="AO51" s="144"/>
      <c r="AP51" s="144"/>
      <c r="AQ51" s="137"/>
    </row>
    <row r="52" spans="1:43" ht="15" customHeight="1" x14ac:dyDescent="0.25">
      <c r="A52" s="136"/>
      <c r="B52" s="136"/>
      <c r="C52" s="160"/>
      <c r="D52" s="160"/>
      <c r="E52" s="160"/>
      <c r="F52" s="160"/>
      <c r="G52" s="160"/>
      <c r="H52" s="160"/>
      <c r="I52" s="160"/>
      <c r="J52" s="160"/>
      <c r="K52" s="160"/>
      <c r="L52" s="160"/>
      <c r="M52" s="160"/>
      <c r="N52" s="142"/>
      <c r="O52" s="161"/>
      <c r="P52" s="161"/>
      <c r="Q52" s="161"/>
      <c r="R52" s="161"/>
      <c r="S52" s="161"/>
      <c r="T52" s="161"/>
      <c r="U52" s="161"/>
      <c r="V52" s="161"/>
      <c r="W52" s="161"/>
      <c r="X52" s="137">
        <f t="shared" si="0"/>
        <v>0</v>
      </c>
      <c r="Y52" s="138" t="s">
        <v>65</v>
      </c>
      <c r="Z52" s="156"/>
      <c r="AA52" s="142"/>
      <c r="AB52" s="142"/>
      <c r="AC52" s="112">
        <f>100-22.83</f>
        <v>77.17</v>
      </c>
      <c r="AD52" s="140"/>
      <c r="AE52" s="139"/>
      <c r="AF52" s="140">
        <f>-SUM(AF44:AF51)</f>
        <v>-143.23985551999999</v>
      </c>
      <c r="AG52" s="139">
        <f>-AF52*AC52/100</f>
        <v>110.538196504784</v>
      </c>
      <c r="AH52" s="108">
        <f t="shared" si="3"/>
        <v>110.64873470128877</v>
      </c>
      <c r="AI52" s="111">
        <f>AG52*65.2%</f>
        <v>72.07090412111917</v>
      </c>
      <c r="AJ52" s="111">
        <f>AG52*9.9%</f>
        <v>10.943281453973617</v>
      </c>
      <c r="AK52" s="110">
        <f>AG52*13.3%</f>
        <v>14.701580135136272</v>
      </c>
      <c r="AL52" s="110">
        <f>AG52*7%</f>
        <v>7.7376737553348809</v>
      </c>
      <c r="AM52" s="110">
        <f>AG52*0%</f>
        <v>0</v>
      </c>
      <c r="AN52" s="110">
        <f>AG52*3.2%</f>
        <v>3.5372222881530879</v>
      </c>
      <c r="AO52" s="110">
        <f>AG52*1.5%</f>
        <v>1.6580729475717599</v>
      </c>
      <c r="AP52" s="110"/>
      <c r="AQ52" s="137"/>
    </row>
    <row r="53" spans="1:43" ht="15" customHeight="1" x14ac:dyDescent="0.25">
      <c r="A53" s="136"/>
      <c r="B53" s="136"/>
      <c r="C53" s="160"/>
      <c r="D53" s="160"/>
      <c r="E53" s="115"/>
      <c r="F53" s="160"/>
      <c r="G53" s="160"/>
      <c r="H53" s="160"/>
      <c r="I53" s="115"/>
      <c r="J53" s="161"/>
      <c r="K53" s="161"/>
      <c r="L53" s="161"/>
      <c r="M53" s="161"/>
      <c r="N53" s="142"/>
      <c r="O53" s="115"/>
      <c r="P53" s="161"/>
      <c r="Q53" s="161"/>
      <c r="R53" s="161"/>
      <c r="S53" s="161"/>
      <c r="T53" s="115"/>
      <c r="U53" s="161"/>
      <c r="V53" s="330">
        <f>23.1*0.96</f>
        <v>22.176000000000002</v>
      </c>
      <c r="W53" s="161"/>
      <c r="X53" s="137">
        <f t="shared" si="0"/>
        <v>22.176000000000002</v>
      </c>
      <c r="Y53" s="138" t="s">
        <v>16</v>
      </c>
      <c r="Z53" s="113">
        <v>29.3</v>
      </c>
      <c r="AA53" s="142"/>
      <c r="AB53" s="110"/>
      <c r="AC53" s="143"/>
      <c r="AD53" s="140">
        <f>X53*Z53/100</f>
        <v>6.4975680000000011</v>
      </c>
      <c r="AE53" s="139"/>
      <c r="AF53" s="140">
        <f>X53*AB53/100</f>
        <v>0</v>
      </c>
      <c r="AG53" s="139"/>
      <c r="AH53" s="108">
        <f t="shared" ref="AH53:AH80" si="6">SUM(AI53:AQ53)</f>
        <v>0</v>
      </c>
      <c r="AI53" s="145"/>
      <c r="AJ53" s="142"/>
      <c r="AK53" s="142"/>
      <c r="AL53" s="142"/>
      <c r="AM53" s="142"/>
      <c r="AN53" s="142"/>
      <c r="AO53" s="142"/>
      <c r="AP53" s="142"/>
      <c r="AQ53" s="137"/>
    </row>
    <row r="54" spans="1:43" ht="15" customHeight="1" x14ac:dyDescent="0.25">
      <c r="A54" s="136"/>
      <c r="B54" s="136"/>
      <c r="C54" s="160"/>
      <c r="D54" s="160"/>
      <c r="E54" s="160"/>
      <c r="F54" s="160"/>
      <c r="G54" s="160"/>
      <c r="H54" s="160"/>
      <c r="I54" s="115"/>
      <c r="J54" s="161"/>
      <c r="K54" s="161"/>
      <c r="L54" s="115"/>
      <c r="M54" s="161"/>
      <c r="N54" s="142"/>
      <c r="O54" s="115"/>
      <c r="P54" s="161"/>
      <c r="Q54" s="161"/>
      <c r="R54" s="161"/>
      <c r="S54" s="115"/>
      <c r="T54" s="115"/>
      <c r="U54" s="161"/>
      <c r="V54" s="161"/>
      <c r="W54" s="161"/>
      <c r="X54" s="151">
        <f t="shared" si="0"/>
        <v>0</v>
      </c>
      <c r="Y54" s="138" t="s">
        <v>17</v>
      </c>
      <c r="Z54" s="156"/>
      <c r="AA54" s="142"/>
      <c r="AB54" s="110"/>
      <c r="AC54" s="143"/>
      <c r="AD54" s="140">
        <f>X54*Z54/100</f>
        <v>0</v>
      </c>
      <c r="AE54" s="139"/>
      <c r="AF54" s="140">
        <f>X54*AB54/100</f>
        <v>0</v>
      </c>
      <c r="AG54" s="139"/>
      <c r="AH54" s="108">
        <f t="shared" si="6"/>
        <v>0</v>
      </c>
      <c r="AI54" s="145"/>
      <c r="AJ54" s="142"/>
      <c r="AK54" s="142"/>
      <c r="AL54" s="142"/>
      <c r="AM54" s="142"/>
      <c r="AN54" s="142"/>
      <c r="AO54" s="142"/>
      <c r="AP54" s="142"/>
      <c r="AQ54" s="137"/>
    </row>
    <row r="55" spans="1:43" ht="15" customHeight="1" x14ac:dyDescent="0.25">
      <c r="A55" s="136"/>
      <c r="B55" s="136"/>
      <c r="C55" s="160"/>
      <c r="D55" s="160"/>
      <c r="E55" s="160"/>
      <c r="F55" s="160"/>
      <c r="G55" s="160"/>
      <c r="H55" s="160"/>
      <c r="I55" s="160"/>
      <c r="J55" s="160"/>
      <c r="K55" s="160"/>
      <c r="L55" s="160"/>
      <c r="M55" s="160"/>
      <c r="N55" s="142"/>
      <c r="O55" s="161"/>
      <c r="P55" s="161"/>
      <c r="Q55" s="161"/>
      <c r="R55" s="161"/>
      <c r="S55" s="161"/>
      <c r="T55" s="161"/>
      <c r="U55" s="161"/>
      <c r="V55" s="161"/>
      <c r="W55" s="161"/>
      <c r="X55" s="151">
        <f t="shared" si="0"/>
        <v>0</v>
      </c>
      <c r="Y55" s="138" t="s">
        <v>66</v>
      </c>
      <c r="Z55" s="156"/>
      <c r="AA55" s="142"/>
      <c r="AB55" s="142"/>
      <c r="AC55" s="112">
        <f>100-22.83</f>
        <v>77.17</v>
      </c>
      <c r="AD55" s="140"/>
      <c r="AE55" s="139"/>
      <c r="AF55" s="140">
        <f>-SUM(AF53:AF54)</f>
        <v>0</v>
      </c>
      <c r="AG55" s="139">
        <f>-AF55*AC55/100</f>
        <v>0</v>
      </c>
      <c r="AH55" s="108">
        <f t="shared" si="6"/>
        <v>0</v>
      </c>
      <c r="AI55" s="111">
        <f>AG55*65.2%</f>
        <v>0</v>
      </c>
      <c r="AJ55" s="111">
        <f>AG55*9.9%</f>
        <v>0</v>
      </c>
      <c r="AK55" s="110">
        <f>AG55*13.3%</f>
        <v>0</v>
      </c>
      <c r="AL55" s="110">
        <f>AG55*7%</f>
        <v>0</v>
      </c>
      <c r="AM55" s="110">
        <f>AG55*0%</f>
        <v>0</v>
      </c>
      <c r="AN55" s="110">
        <f>AG55*3.2%</f>
        <v>0</v>
      </c>
      <c r="AO55" s="110">
        <f>AG55*1.5%</f>
        <v>0</v>
      </c>
      <c r="AP55" s="110"/>
      <c r="AQ55" s="137"/>
    </row>
    <row r="56" spans="1:43" ht="15" customHeight="1" x14ac:dyDescent="0.25">
      <c r="A56" s="136"/>
      <c r="B56" s="136"/>
      <c r="C56" s="160"/>
      <c r="D56" s="115"/>
      <c r="E56" s="330">
        <f>7.5*0.96</f>
        <v>7.1999999999999993</v>
      </c>
      <c r="F56" s="160"/>
      <c r="G56" s="160"/>
      <c r="H56" s="160"/>
      <c r="I56" s="330">
        <f>18.6*0.96-11.16</f>
        <v>6.6960000000000015</v>
      </c>
      <c r="J56" s="160"/>
      <c r="K56" s="160"/>
      <c r="L56" s="160"/>
      <c r="M56" s="160"/>
      <c r="N56" s="142"/>
      <c r="O56" s="115"/>
      <c r="P56" s="115"/>
      <c r="Q56" s="330">
        <f>59.3*0.96</f>
        <v>56.927999999999997</v>
      </c>
      <c r="R56" s="115"/>
      <c r="S56" s="115"/>
      <c r="T56" s="115"/>
      <c r="U56" s="161"/>
      <c r="V56" s="161"/>
      <c r="W56" s="161"/>
      <c r="X56" s="151">
        <f t="shared" si="0"/>
        <v>70.823999999999998</v>
      </c>
      <c r="Y56" s="138" t="s">
        <v>28</v>
      </c>
      <c r="Z56" s="156"/>
      <c r="AA56" s="142"/>
      <c r="AB56" s="110">
        <v>89.9</v>
      </c>
      <c r="AC56" s="143"/>
      <c r="AD56" s="140"/>
      <c r="AE56" s="139"/>
      <c r="AF56" s="140">
        <f>X56*AB56/100</f>
        <v>63.670776000000004</v>
      </c>
      <c r="AG56" s="139"/>
      <c r="AH56" s="108">
        <f t="shared" si="6"/>
        <v>0</v>
      </c>
      <c r="AI56" s="145"/>
      <c r="AJ56" s="144"/>
      <c r="AK56" s="144"/>
      <c r="AL56" s="144"/>
      <c r="AM56" s="144"/>
      <c r="AN56" s="144"/>
      <c r="AO56" s="144"/>
      <c r="AP56" s="144"/>
      <c r="AQ56" s="137"/>
    </row>
    <row r="57" spans="1:43" ht="15" customHeight="1" x14ac:dyDescent="0.25">
      <c r="A57" s="136"/>
      <c r="B57" s="136"/>
      <c r="C57" s="168"/>
      <c r="D57" s="168"/>
      <c r="E57" s="168"/>
      <c r="F57" s="168"/>
      <c r="G57" s="168"/>
      <c r="H57" s="168"/>
      <c r="I57" s="169"/>
      <c r="J57" s="168"/>
      <c r="K57" s="168"/>
      <c r="L57" s="168"/>
      <c r="M57" s="168"/>
      <c r="N57" s="110">
        <f>AF57-AE57</f>
        <v>0</v>
      </c>
      <c r="O57" s="169"/>
      <c r="P57" s="169"/>
      <c r="Q57" s="169"/>
      <c r="R57" s="169"/>
      <c r="S57" s="169"/>
      <c r="T57" s="169"/>
      <c r="U57" s="169"/>
      <c r="V57" s="169"/>
      <c r="W57" s="169"/>
      <c r="X57" s="151">
        <f t="shared" si="0"/>
        <v>0</v>
      </c>
      <c r="Y57" s="138" t="s">
        <v>120</v>
      </c>
      <c r="Z57" s="140"/>
      <c r="AA57" s="144"/>
      <c r="AB57" s="110"/>
      <c r="AC57" s="139"/>
      <c r="AD57" s="140">
        <f>-AE57/$D$2%</f>
        <v>0</v>
      </c>
      <c r="AE57" s="112"/>
      <c r="AF57" s="140">
        <f>AE57*AB57%</f>
        <v>0</v>
      </c>
      <c r="AG57" s="137"/>
      <c r="AH57" s="108"/>
      <c r="AI57" s="145"/>
      <c r="AJ57" s="144"/>
      <c r="AK57" s="144"/>
      <c r="AL57" s="144"/>
      <c r="AM57" s="144"/>
      <c r="AN57" s="144"/>
      <c r="AO57" s="144"/>
      <c r="AP57" s="144"/>
      <c r="AQ57" s="137"/>
    </row>
    <row r="58" spans="1:43" ht="15" customHeight="1" x14ac:dyDescent="0.25">
      <c r="A58" s="144"/>
      <c r="B58" s="144"/>
      <c r="C58" s="169"/>
      <c r="D58" s="169"/>
      <c r="E58" s="169"/>
      <c r="F58" s="169"/>
      <c r="G58" s="169"/>
      <c r="H58" s="169"/>
      <c r="I58" s="169"/>
      <c r="J58" s="169"/>
      <c r="K58" s="169"/>
      <c r="L58" s="169"/>
      <c r="M58" s="169"/>
      <c r="N58" s="169"/>
      <c r="O58" s="169"/>
      <c r="P58" s="169"/>
      <c r="Q58" s="169"/>
      <c r="R58" s="169"/>
      <c r="S58" s="169"/>
      <c r="T58" s="169"/>
      <c r="U58" s="169"/>
      <c r="V58" s="169"/>
      <c r="W58" s="169"/>
      <c r="X58" s="151">
        <f t="shared" si="0"/>
        <v>0</v>
      </c>
      <c r="Y58" s="138" t="s">
        <v>118</v>
      </c>
      <c r="Z58" s="140"/>
      <c r="AA58" s="144"/>
      <c r="AB58" s="110">
        <v>100</v>
      </c>
      <c r="AC58" s="139"/>
      <c r="AD58" s="140">
        <f>-AE58/$D$2%</f>
        <v>0</v>
      </c>
      <c r="AE58" s="112"/>
      <c r="AF58" s="156">
        <f>X58*AB58/100</f>
        <v>0</v>
      </c>
      <c r="AG58" s="139"/>
      <c r="AH58" s="108"/>
      <c r="AI58" s="145"/>
      <c r="AJ58" s="144"/>
      <c r="AK58" s="144"/>
      <c r="AL58" s="144"/>
      <c r="AM58" s="144"/>
      <c r="AN58" s="144"/>
      <c r="AO58" s="144"/>
      <c r="AP58" s="144"/>
      <c r="AQ58" s="137"/>
    </row>
    <row r="59" spans="1:43" ht="15" customHeight="1" x14ac:dyDescent="0.25">
      <c r="A59" s="136"/>
      <c r="B59" s="136"/>
      <c r="C59" s="169"/>
      <c r="D59" s="169"/>
      <c r="E59" s="169"/>
      <c r="F59" s="169"/>
      <c r="G59" s="169"/>
      <c r="H59" s="169"/>
      <c r="I59" s="169"/>
      <c r="J59" s="169"/>
      <c r="K59" s="169"/>
      <c r="L59" s="169"/>
      <c r="M59" s="169"/>
      <c r="N59" s="169"/>
      <c r="O59" s="169"/>
      <c r="P59" s="169"/>
      <c r="Q59" s="169"/>
      <c r="R59" s="169"/>
      <c r="S59" s="169"/>
      <c r="T59" s="169"/>
      <c r="U59" s="169"/>
      <c r="V59" s="169"/>
      <c r="W59" s="169"/>
      <c r="X59" s="151">
        <f t="shared" si="0"/>
        <v>0</v>
      </c>
      <c r="Y59" s="138" t="s">
        <v>119</v>
      </c>
      <c r="Z59" s="140"/>
      <c r="AA59" s="144"/>
      <c r="AB59" s="144"/>
      <c r="AC59" s="139"/>
      <c r="AD59" s="140"/>
      <c r="AE59" s="139"/>
      <c r="AF59" s="140">
        <f>X59*AB59/100</f>
        <v>0</v>
      </c>
      <c r="AG59" s="139"/>
      <c r="AH59" s="108"/>
      <c r="AI59" s="145"/>
      <c r="AJ59" s="144"/>
      <c r="AK59" s="144"/>
      <c r="AL59" s="144"/>
      <c r="AM59" s="144"/>
      <c r="AN59" s="144"/>
      <c r="AO59" s="144"/>
      <c r="AP59" s="144"/>
      <c r="AQ59" s="137"/>
    </row>
    <row r="60" spans="1:43" ht="15" customHeight="1" x14ac:dyDescent="0.25">
      <c r="A60" s="136"/>
      <c r="B60" s="136"/>
      <c r="C60" s="160"/>
      <c r="D60" s="160"/>
      <c r="E60" s="160"/>
      <c r="F60" s="160"/>
      <c r="G60" s="160"/>
      <c r="H60" s="160"/>
      <c r="I60" s="170"/>
      <c r="J60" s="160"/>
      <c r="K60" s="160"/>
      <c r="L60" s="330">
        <f>21.8+ 11.16</f>
        <v>32.96</v>
      </c>
      <c r="M60" s="160"/>
      <c r="N60" s="161"/>
      <c r="O60" s="161"/>
      <c r="P60" s="161"/>
      <c r="Q60" s="161"/>
      <c r="R60" s="161"/>
      <c r="S60" s="161"/>
      <c r="T60" s="161"/>
      <c r="U60" s="161"/>
      <c r="V60" s="161"/>
      <c r="W60" s="161"/>
      <c r="X60" s="151">
        <f t="shared" si="0"/>
        <v>32.96</v>
      </c>
      <c r="Y60" s="138" t="s">
        <v>255</v>
      </c>
      <c r="Z60" s="156"/>
      <c r="AA60" s="142"/>
      <c r="AB60" s="110">
        <v>100</v>
      </c>
      <c r="AC60" s="143"/>
      <c r="AD60" s="140"/>
      <c r="AE60" s="139"/>
      <c r="AF60" s="140">
        <f>X60*AB60/100</f>
        <v>32.96</v>
      </c>
      <c r="AG60" s="139"/>
      <c r="AH60" s="108">
        <f t="shared" si="6"/>
        <v>0</v>
      </c>
      <c r="AI60" s="145"/>
      <c r="AJ60" s="144"/>
      <c r="AK60" s="144"/>
      <c r="AL60" s="144"/>
      <c r="AM60" s="144"/>
      <c r="AN60" s="144"/>
      <c r="AO60" s="144"/>
      <c r="AP60" s="144"/>
      <c r="AQ60" s="137"/>
    </row>
    <row r="61" spans="1:43" ht="15" customHeight="1" x14ac:dyDescent="0.25">
      <c r="A61" s="135"/>
      <c r="B61" s="136"/>
      <c r="C61" s="160"/>
      <c r="D61" s="160"/>
      <c r="E61" s="160"/>
      <c r="F61" s="160"/>
      <c r="G61" s="160"/>
      <c r="H61" s="160"/>
      <c r="I61" s="160"/>
      <c r="J61" s="160"/>
      <c r="K61" s="160"/>
      <c r="L61" s="160"/>
      <c r="M61" s="160"/>
      <c r="N61" s="161"/>
      <c r="O61" s="161"/>
      <c r="P61" s="161"/>
      <c r="Q61" s="161"/>
      <c r="R61" s="161"/>
      <c r="S61" s="161"/>
      <c r="T61" s="161"/>
      <c r="U61" s="161"/>
      <c r="V61" s="161"/>
      <c r="W61" s="161"/>
      <c r="X61" s="151">
        <f t="shared" si="0"/>
        <v>0</v>
      </c>
      <c r="Y61" s="138" t="s">
        <v>37</v>
      </c>
      <c r="Z61" s="156"/>
      <c r="AA61" s="142"/>
      <c r="AB61" s="142"/>
      <c r="AC61" s="143"/>
      <c r="AD61" s="140">
        <f>X61*Z61%</f>
        <v>0</v>
      </c>
      <c r="AE61" s="139"/>
      <c r="AF61" s="140">
        <f>X61*AB61%</f>
        <v>0</v>
      </c>
      <c r="AG61" s="139"/>
      <c r="AH61" s="108">
        <f t="shared" si="6"/>
        <v>0</v>
      </c>
      <c r="AI61" s="145"/>
      <c r="AJ61" s="144"/>
      <c r="AK61" s="144"/>
      <c r="AL61" s="144"/>
      <c r="AM61" s="144"/>
      <c r="AN61" s="144"/>
      <c r="AO61" s="144"/>
      <c r="AP61" s="144"/>
      <c r="AQ61" s="137"/>
    </row>
    <row r="62" spans="1:43" ht="15" customHeight="1" x14ac:dyDescent="0.25">
      <c r="A62" s="136"/>
      <c r="B62" s="136"/>
      <c r="C62" s="160"/>
      <c r="D62" s="160"/>
      <c r="E62" s="160"/>
      <c r="F62" s="160"/>
      <c r="G62" s="160"/>
      <c r="H62" s="160"/>
      <c r="I62" s="170"/>
      <c r="J62" s="160"/>
      <c r="K62" s="160"/>
      <c r="L62" s="160"/>
      <c r="M62" s="160"/>
      <c r="N62" s="161"/>
      <c r="O62" s="160"/>
      <c r="P62" s="160"/>
      <c r="Q62" s="160"/>
      <c r="R62" s="160"/>
      <c r="S62" s="160"/>
      <c r="T62" s="160"/>
      <c r="U62" s="160"/>
      <c r="V62" s="160"/>
      <c r="W62" s="160"/>
      <c r="X62" s="151">
        <f t="shared" si="0"/>
        <v>0</v>
      </c>
      <c r="Y62" s="138" t="s">
        <v>115</v>
      </c>
      <c r="Z62" s="156"/>
      <c r="AA62" s="142"/>
      <c r="AB62" s="142"/>
      <c r="AC62" s="112">
        <f>100-22.83</f>
        <v>77.17</v>
      </c>
      <c r="AD62" s="140"/>
      <c r="AE62" s="139"/>
      <c r="AF62" s="157">
        <f>-SUM(AF56:AF61)</f>
        <v>-96.630775999999997</v>
      </c>
      <c r="AG62" s="139">
        <f>-AF62*AC62/100</f>
        <v>74.569969839199999</v>
      </c>
      <c r="AH62" s="108">
        <f t="shared" si="6"/>
        <v>74.644539809039202</v>
      </c>
      <c r="AI62" s="111">
        <f>AG62*65.2%</f>
        <v>48.619620335158402</v>
      </c>
      <c r="AJ62" s="111">
        <f>AG62*9.9%</f>
        <v>7.3824270140808004</v>
      </c>
      <c r="AK62" s="110">
        <f>AG62*13.3%</f>
        <v>9.9178059886136012</v>
      </c>
      <c r="AL62" s="110">
        <f>AG62*7%</f>
        <v>5.2198978887440006</v>
      </c>
      <c r="AM62" s="110">
        <f>AG62*0%</f>
        <v>0</v>
      </c>
      <c r="AN62" s="110">
        <f>AG62*3.2%</f>
        <v>2.3862390348544</v>
      </c>
      <c r="AO62" s="110">
        <f>AG62*1.5%</f>
        <v>1.1185495475879998</v>
      </c>
      <c r="AP62" s="110"/>
      <c r="AQ62" s="137"/>
    </row>
    <row r="63" spans="1:43" ht="15" customHeight="1" x14ac:dyDescent="0.25">
      <c r="A63" s="136"/>
      <c r="B63" s="136"/>
      <c r="C63" s="160"/>
      <c r="D63" s="115"/>
      <c r="E63" s="160"/>
      <c r="F63" s="160"/>
      <c r="G63" s="160"/>
      <c r="H63" s="160"/>
      <c r="I63" s="161"/>
      <c r="J63" s="160"/>
      <c r="K63" s="160"/>
      <c r="L63" s="160"/>
      <c r="M63" s="160"/>
      <c r="N63" s="161"/>
      <c r="O63" s="160"/>
      <c r="P63" s="115"/>
      <c r="Q63" s="160"/>
      <c r="R63" s="160"/>
      <c r="S63" s="115"/>
      <c r="T63" s="160"/>
      <c r="U63" s="115"/>
      <c r="V63" s="160"/>
      <c r="W63" s="115"/>
      <c r="X63" s="151">
        <f t="shared" si="0"/>
        <v>0</v>
      </c>
      <c r="Y63" s="138" t="s">
        <v>20</v>
      </c>
      <c r="Z63" s="113"/>
      <c r="AA63" s="142"/>
      <c r="AB63" s="110"/>
      <c r="AC63" s="143"/>
      <c r="AD63" s="135">
        <f t="shared" ref="AD63:AD68" si="7">Z63/100*X63</f>
        <v>0</v>
      </c>
      <c r="AE63" s="137"/>
      <c r="AF63" s="135">
        <f>X63*AB63/100</f>
        <v>0</v>
      </c>
      <c r="AG63" s="137"/>
      <c r="AH63" s="108">
        <f t="shared" si="6"/>
        <v>0</v>
      </c>
      <c r="AI63" s="145"/>
      <c r="AJ63" s="144"/>
      <c r="AK63" s="144"/>
      <c r="AL63" s="144"/>
      <c r="AM63" s="144"/>
      <c r="AN63" s="144"/>
      <c r="AO63" s="144"/>
      <c r="AP63" s="144"/>
      <c r="AQ63" s="137"/>
    </row>
    <row r="64" spans="1:43" ht="15" customHeight="1" x14ac:dyDescent="0.25">
      <c r="A64" s="136"/>
      <c r="B64" s="136"/>
      <c r="C64" s="160"/>
      <c r="D64" s="160"/>
      <c r="E64" s="160"/>
      <c r="F64" s="160"/>
      <c r="G64" s="160"/>
      <c r="H64" s="160"/>
      <c r="I64" s="115"/>
      <c r="J64" s="160"/>
      <c r="K64" s="160"/>
      <c r="L64" s="160"/>
      <c r="M64" s="160"/>
      <c r="N64" s="161"/>
      <c r="O64" s="115"/>
      <c r="P64" s="161"/>
      <c r="Q64" s="161"/>
      <c r="R64" s="161"/>
      <c r="S64" s="161"/>
      <c r="T64" s="115"/>
      <c r="U64" s="160"/>
      <c r="V64" s="160"/>
      <c r="W64" s="160"/>
      <c r="X64" s="151">
        <f t="shared" si="0"/>
        <v>0</v>
      </c>
      <c r="Y64" s="138" t="s">
        <v>21</v>
      </c>
      <c r="Z64" s="113"/>
      <c r="AA64" s="142"/>
      <c r="AB64" s="110"/>
      <c r="AC64" s="143"/>
      <c r="AD64" s="135">
        <f t="shared" si="7"/>
        <v>0</v>
      </c>
      <c r="AE64" s="137"/>
      <c r="AF64" s="135">
        <f>X64*AB64/100</f>
        <v>0</v>
      </c>
      <c r="AG64" s="137"/>
      <c r="AH64" s="108">
        <f t="shared" si="6"/>
        <v>0</v>
      </c>
      <c r="AI64" s="145"/>
      <c r="AJ64" s="144"/>
      <c r="AK64" s="144"/>
      <c r="AL64" s="144"/>
      <c r="AM64" s="144"/>
      <c r="AN64" s="144"/>
      <c r="AO64" s="144"/>
      <c r="AP64" s="144"/>
      <c r="AQ64" s="137"/>
    </row>
    <row r="65" spans="1:43" ht="15" customHeight="1" x14ac:dyDescent="0.25">
      <c r="A65" s="136"/>
      <c r="B65" s="136"/>
      <c r="C65" s="160"/>
      <c r="D65" s="160"/>
      <c r="E65" s="115"/>
      <c r="F65" s="160"/>
      <c r="G65" s="160"/>
      <c r="H65" s="160"/>
      <c r="I65" s="115"/>
      <c r="J65" s="160"/>
      <c r="K65" s="160"/>
      <c r="L65" s="160"/>
      <c r="M65" s="160"/>
      <c r="N65" s="161"/>
      <c r="O65" s="160"/>
      <c r="P65" s="160"/>
      <c r="Q65" s="160"/>
      <c r="R65" s="160"/>
      <c r="S65" s="160"/>
      <c r="T65" s="160"/>
      <c r="U65" s="160"/>
      <c r="V65" s="160"/>
      <c r="W65" s="160"/>
      <c r="X65" s="151">
        <f t="shared" si="0"/>
        <v>0</v>
      </c>
      <c r="Y65" s="138" t="s">
        <v>22</v>
      </c>
      <c r="Z65" s="113"/>
      <c r="AA65" s="142"/>
      <c r="AB65" s="110"/>
      <c r="AC65" s="143"/>
      <c r="AD65" s="135">
        <f t="shared" si="7"/>
        <v>0</v>
      </c>
      <c r="AE65" s="137"/>
      <c r="AF65" s="135">
        <f>X65*AB65/100</f>
        <v>0</v>
      </c>
      <c r="AG65" s="137"/>
      <c r="AH65" s="108">
        <f t="shared" si="6"/>
        <v>0</v>
      </c>
      <c r="AI65" s="145"/>
      <c r="AJ65" s="144"/>
      <c r="AK65" s="144"/>
      <c r="AL65" s="144"/>
      <c r="AM65" s="144"/>
      <c r="AN65" s="144"/>
      <c r="AO65" s="144"/>
      <c r="AP65" s="144"/>
      <c r="AQ65" s="137"/>
    </row>
    <row r="66" spans="1:43" ht="15" customHeight="1" x14ac:dyDescent="0.25">
      <c r="A66" s="136"/>
      <c r="B66" s="136"/>
      <c r="C66" s="144"/>
      <c r="D66" s="144"/>
      <c r="E66" s="110"/>
      <c r="F66" s="144"/>
      <c r="G66" s="144"/>
      <c r="H66" s="144"/>
      <c r="I66" s="110"/>
      <c r="J66" s="136"/>
      <c r="K66" s="136"/>
      <c r="L66" s="136"/>
      <c r="M66" s="136"/>
      <c r="N66" s="144"/>
      <c r="O66" s="110"/>
      <c r="P66" s="144"/>
      <c r="Q66" s="144"/>
      <c r="R66" s="110"/>
      <c r="S66" s="110"/>
      <c r="T66" s="110"/>
      <c r="U66" s="110"/>
      <c r="V66" s="144"/>
      <c r="W66" s="110"/>
      <c r="X66" s="151">
        <f t="shared" si="0"/>
        <v>0</v>
      </c>
      <c r="Y66" s="138" t="s">
        <v>23</v>
      </c>
      <c r="Z66" s="156"/>
      <c r="AA66" s="142"/>
      <c r="AB66" s="110"/>
      <c r="AC66" s="143"/>
      <c r="AD66" s="135">
        <f t="shared" si="7"/>
        <v>0</v>
      </c>
      <c r="AE66" s="137"/>
      <c r="AF66" s="135">
        <f>X66*AB66/100</f>
        <v>0</v>
      </c>
      <c r="AG66" s="137"/>
      <c r="AH66" s="108">
        <f t="shared" si="6"/>
        <v>0</v>
      </c>
      <c r="AI66" s="145"/>
      <c r="AJ66" s="144"/>
      <c r="AK66" s="144"/>
      <c r="AL66" s="144"/>
      <c r="AM66" s="144"/>
      <c r="AN66" s="144"/>
      <c r="AO66" s="144"/>
      <c r="AP66" s="144"/>
      <c r="AQ66" s="137"/>
    </row>
    <row r="67" spans="1:43" ht="15" customHeight="1" x14ac:dyDescent="0.25">
      <c r="A67" s="136"/>
      <c r="B67" s="136"/>
      <c r="C67" s="144"/>
      <c r="D67" s="144"/>
      <c r="E67" s="144"/>
      <c r="F67" s="144"/>
      <c r="G67" s="144"/>
      <c r="H67" s="144"/>
      <c r="I67" s="144"/>
      <c r="J67" s="136"/>
      <c r="K67" s="136"/>
      <c r="L67" s="136"/>
      <c r="M67" s="136"/>
      <c r="N67" s="144"/>
      <c r="O67" s="136"/>
      <c r="P67" s="144"/>
      <c r="Q67" s="136"/>
      <c r="R67" s="136"/>
      <c r="S67" s="136"/>
      <c r="T67" s="136"/>
      <c r="U67" s="136"/>
      <c r="V67" s="144"/>
      <c r="W67" s="136"/>
      <c r="X67" s="151">
        <f t="shared" si="0"/>
        <v>0</v>
      </c>
      <c r="Y67" s="138" t="s">
        <v>24</v>
      </c>
      <c r="Z67" s="156"/>
      <c r="AA67" s="142"/>
      <c r="AB67" s="142"/>
      <c r="AC67" s="143"/>
      <c r="AD67" s="135">
        <f t="shared" si="7"/>
        <v>0</v>
      </c>
      <c r="AE67" s="137"/>
      <c r="AF67" s="135">
        <f>X67*AB67/100</f>
        <v>0</v>
      </c>
      <c r="AG67" s="137"/>
      <c r="AH67" s="108">
        <f t="shared" si="6"/>
        <v>0</v>
      </c>
      <c r="AI67" s="145"/>
      <c r="AJ67" s="144"/>
      <c r="AK67" s="144"/>
      <c r="AL67" s="144"/>
      <c r="AM67" s="144"/>
      <c r="AN67" s="144"/>
      <c r="AO67" s="144"/>
      <c r="AP67" s="144"/>
      <c r="AQ67" s="137"/>
    </row>
    <row r="68" spans="1:43" ht="15" customHeight="1" x14ac:dyDescent="0.25">
      <c r="A68" s="136"/>
      <c r="B68" s="136"/>
      <c r="C68" s="144"/>
      <c r="D68" s="144"/>
      <c r="E68" s="144"/>
      <c r="F68" s="144"/>
      <c r="G68" s="144"/>
      <c r="H68" s="144"/>
      <c r="I68" s="144"/>
      <c r="J68" s="136"/>
      <c r="K68" s="136"/>
      <c r="L68" s="136"/>
      <c r="M68" s="136"/>
      <c r="N68" s="144"/>
      <c r="O68" s="136"/>
      <c r="P68" s="144"/>
      <c r="Q68" s="136"/>
      <c r="R68" s="110"/>
      <c r="S68" s="144"/>
      <c r="T68" s="136"/>
      <c r="U68" s="136"/>
      <c r="V68" s="144"/>
      <c r="W68" s="136"/>
      <c r="X68" s="151">
        <f t="shared" si="0"/>
        <v>0</v>
      </c>
      <c r="Y68" s="138" t="s">
        <v>25</v>
      </c>
      <c r="Z68" s="156"/>
      <c r="AA68" s="142"/>
      <c r="AB68" s="142">
        <v>100</v>
      </c>
      <c r="AC68" s="143"/>
      <c r="AD68" s="135">
        <f t="shared" si="7"/>
        <v>0</v>
      </c>
      <c r="AE68" s="112"/>
      <c r="AF68" s="140"/>
      <c r="AG68" s="137"/>
      <c r="AH68" s="108">
        <f t="shared" si="6"/>
        <v>0</v>
      </c>
      <c r="AI68" s="145"/>
      <c r="AJ68" s="144"/>
      <c r="AK68" s="144"/>
      <c r="AL68" s="144"/>
      <c r="AM68" s="144"/>
      <c r="AN68" s="144"/>
      <c r="AO68" s="144"/>
      <c r="AP68" s="144"/>
      <c r="AQ68" s="137"/>
    </row>
    <row r="69" spans="1:43" ht="15" customHeight="1" x14ac:dyDescent="0.25">
      <c r="A69" s="136"/>
      <c r="B69" s="136"/>
      <c r="C69" s="136"/>
      <c r="D69" s="136"/>
      <c r="E69" s="136"/>
      <c r="F69" s="136"/>
      <c r="G69" s="136"/>
      <c r="H69" s="136"/>
      <c r="I69" s="136"/>
      <c r="J69" s="136"/>
      <c r="K69" s="136"/>
      <c r="L69" s="136"/>
      <c r="M69" s="136"/>
      <c r="N69" s="136"/>
      <c r="O69" s="136"/>
      <c r="P69" s="136"/>
      <c r="Q69" s="136"/>
      <c r="R69" s="136"/>
      <c r="S69" s="136"/>
      <c r="T69" s="136"/>
      <c r="U69" s="136"/>
      <c r="V69" s="144"/>
      <c r="W69" s="136"/>
      <c r="X69" s="151">
        <f t="shared" si="0"/>
        <v>0</v>
      </c>
      <c r="Y69" s="167" t="s">
        <v>26</v>
      </c>
      <c r="Z69" s="157"/>
      <c r="AA69" s="163"/>
      <c r="AB69" s="163"/>
      <c r="AC69" s="172"/>
      <c r="AD69" s="135">
        <f>-AE69</f>
        <v>0</v>
      </c>
      <c r="AE69" s="143">
        <f>0+0+0+0</f>
        <v>0</v>
      </c>
      <c r="AF69" s="156"/>
      <c r="AG69" s="137"/>
      <c r="AH69" s="108">
        <f t="shared" si="6"/>
        <v>0</v>
      </c>
      <c r="AI69" s="145"/>
      <c r="AJ69" s="144"/>
      <c r="AK69" s="144"/>
      <c r="AL69" s="144"/>
      <c r="AM69" s="144"/>
      <c r="AN69" s="144">
        <f>AE69</f>
        <v>0</v>
      </c>
      <c r="AO69" s="144"/>
      <c r="AP69" s="144"/>
      <c r="AQ69" s="137"/>
    </row>
    <row r="70" spans="1:43" ht="15" customHeight="1" x14ac:dyDescent="0.2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51">
        <f t="shared" si="0"/>
        <v>0</v>
      </c>
      <c r="Y70" s="167" t="s">
        <v>27</v>
      </c>
      <c r="Z70" s="157"/>
      <c r="AA70" s="163"/>
      <c r="AB70" s="163"/>
      <c r="AC70" s="143"/>
      <c r="AD70" s="135"/>
      <c r="AE70" s="143"/>
      <c r="AF70" s="156">
        <f>0-0-0-0</f>
        <v>0</v>
      </c>
      <c r="AG70" s="173"/>
      <c r="AH70" s="108">
        <f t="shared" si="6"/>
        <v>0</v>
      </c>
      <c r="AI70" s="145"/>
      <c r="AJ70" s="144"/>
      <c r="AK70" s="144"/>
      <c r="AL70" s="144"/>
      <c r="AM70" s="144"/>
      <c r="AN70" s="144">
        <f>-AF70</f>
        <v>0</v>
      </c>
      <c r="AO70" s="144"/>
      <c r="AP70" s="144"/>
      <c r="AQ70" s="137"/>
    </row>
    <row r="71" spans="1:43" ht="15" customHeight="1" x14ac:dyDescent="0.25">
      <c r="A71" s="136"/>
      <c r="B71" s="136"/>
      <c r="C71" s="136"/>
      <c r="D71" s="136"/>
      <c r="E71" s="136"/>
      <c r="F71" s="136"/>
      <c r="G71" s="136"/>
      <c r="H71" s="136"/>
      <c r="I71" s="136"/>
      <c r="J71" s="136"/>
      <c r="K71" s="136"/>
      <c r="L71" s="136"/>
      <c r="M71" s="136"/>
      <c r="N71" s="136"/>
      <c r="O71" s="136"/>
      <c r="P71" s="144"/>
      <c r="Q71" s="136"/>
      <c r="R71" s="136"/>
      <c r="S71" s="136"/>
      <c r="T71" s="136"/>
      <c r="U71" s="136"/>
      <c r="V71" s="136"/>
      <c r="W71" s="136"/>
      <c r="X71" s="151">
        <f t="shared" si="0"/>
        <v>0</v>
      </c>
      <c r="Y71" s="138" t="s">
        <v>67</v>
      </c>
      <c r="Z71" s="157"/>
      <c r="AA71" s="163"/>
      <c r="AB71" s="163"/>
      <c r="AC71" s="112">
        <f>100-22.83</f>
        <v>77.17</v>
      </c>
      <c r="AD71" s="135"/>
      <c r="AE71" s="137"/>
      <c r="AF71" s="135">
        <f>-SUM(AF63:AF70)</f>
        <v>0</v>
      </c>
      <c r="AG71" s="137">
        <f>-AF71*AC71/100</f>
        <v>0</v>
      </c>
      <c r="AH71" s="108">
        <f t="shared" si="6"/>
        <v>0</v>
      </c>
      <c r="AI71" s="111">
        <f>AG71*65.2%</f>
        <v>0</v>
      </c>
      <c r="AJ71" s="111">
        <f>AG71*9.9%</f>
        <v>0</v>
      </c>
      <c r="AK71" s="110">
        <f>AG71*13.3%</f>
        <v>0</v>
      </c>
      <c r="AL71" s="110">
        <f>AG71*7%</f>
        <v>0</v>
      </c>
      <c r="AM71" s="110">
        <f>AG71*0%</f>
        <v>0</v>
      </c>
      <c r="AN71" s="110">
        <f>AG71*3.2%</f>
        <v>0</v>
      </c>
      <c r="AO71" s="110">
        <f>AG71*1.5%</f>
        <v>0</v>
      </c>
      <c r="AP71" s="110"/>
      <c r="AQ71" s="137"/>
    </row>
    <row r="72" spans="1:43" ht="15" customHeight="1" x14ac:dyDescent="0.25">
      <c r="A72" s="135"/>
      <c r="B72" s="136"/>
      <c r="C72" s="136"/>
      <c r="D72" s="136"/>
      <c r="E72" s="136"/>
      <c r="F72" s="142"/>
      <c r="G72" s="142"/>
      <c r="H72" s="329">
        <f>1027.7*0.79*(100%-3.1%)</f>
        <v>786.71462700000006</v>
      </c>
      <c r="I72" s="142"/>
      <c r="J72" s="142"/>
      <c r="K72" s="142"/>
      <c r="L72" s="142"/>
      <c r="M72" s="142"/>
      <c r="N72" s="142"/>
      <c r="O72" s="142"/>
      <c r="P72" s="329">
        <f>1027.7*0.89*3.1%</f>
        <v>28.354243</v>
      </c>
      <c r="Q72" s="136"/>
      <c r="R72" s="136"/>
      <c r="S72" s="136"/>
      <c r="T72" s="136"/>
      <c r="U72" s="136"/>
      <c r="V72" s="136"/>
      <c r="W72" s="136"/>
      <c r="X72" s="151">
        <f t="shared" si="0"/>
        <v>815.06887000000006</v>
      </c>
      <c r="Y72" s="138" t="s">
        <v>68</v>
      </c>
      <c r="Z72" s="135"/>
      <c r="AA72" s="136">
        <v>20</v>
      </c>
      <c r="AB72" s="136"/>
      <c r="AC72" s="137"/>
      <c r="AD72" s="135"/>
      <c r="AE72" s="137"/>
      <c r="AF72" s="135"/>
      <c r="AG72" s="137"/>
      <c r="AH72" s="108">
        <f t="shared" si="6"/>
        <v>163.01377400000001</v>
      </c>
      <c r="AI72" s="153"/>
      <c r="AJ72" s="136"/>
      <c r="AK72" s="136"/>
      <c r="AL72" s="136"/>
      <c r="AM72" s="136"/>
      <c r="AN72" s="136"/>
      <c r="AO72" s="136"/>
      <c r="AP72" s="136"/>
      <c r="AQ72" s="137">
        <f>X72*AA72/100</f>
        <v>163.01377400000001</v>
      </c>
    </row>
    <row r="73" spans="1:43" ht="15" customHeight="1" x14ac:dyDescent="0.25">
      <c r="A73" s="135"/>
      <c r="B73" s="136"/>
      <c r="C73" s="136"/>
      <c r="D73" s="136"/>
      <c r="E73" s="136"/>
      <c r="F73" s="329">
        <f>813.1*0.89*(100%-6.7%)</f>
        <v>675.17384700000002</v>
      </c>
      <c r="G73" s="142"/>
      <c r="H73" s="142"/>
      <c r="I73" s="142"/>
      <c r="J73" s="142"/>
      <c r="K73" s="142"/>
      <c r="L73" s="142"/>
      <c r="M73" s="142"/>
      <c r="N73" s="142"/>
      <c r="O73" s="142"/>
      <c r="P73" s="329">
        <f>813.1*0.89*6.7%</f>
        <v>48.485153000000004</v>
      </c>
      <c r="Q73" s="136"/>
      <c r="R73" s="136"/>
      <c r="S73" s="136"/>
      <c r="T73" s="136"/>
      <c r="U73" s="136"/>
      <c r="V73" s="136"/>
      <c r="W73" s="136"/>
      <c r="X73" s="151">
        <f t="shared" si="0"/>
        <v>723.65899999999999</v>
      </c>
      <c r="Y73" s="138" t="s">
        <v>69</v>
      </c>
      <c r="Z73" s="135"/>
      <c r="AA73" s="136">
        <v>25</v>
      </c>
      <c r="AB73" s="136"/>
      <c r="AC73" s="137"/>
      <c r="AD73" s="135"/>
      <c r="AE73" s="137"/>
      <c r="AF73" s="135"/>
      <c r="AG73" s="137"/>
      <c r="AH73" s="108">
        <f t="shared" si="6"/>
        <v>180.91475</v>
      </c>
      <c r="AI73" s="153"/>
      <c r="AJ73" s="136"/>
      <c r="AK73" s="136"/>
      <c r="AL73" s="136"/>
      <c r="AM73" s="136"/>
      <c r="AN73" s="136"/>
      <c r="AO73" s="136"/>
      <c r="AP73" s="136"/>
      <c r="AQ73" s="137">
        <f>X73*AA73/100</f>
        <v>180.91475</v>
      </c>
    </row>
    <row r="74" spans="1:43" ht="15" customHeight="1" x14ac:dyDescent="0.25">
      <c r="A74" s="135"/>
      <c r="B74" s="136"/>
      <c r="C74" s="136"/>
      <c r="D74" s="136"/>
      <c r="E74" s="136"/>
      <c r="F74" s="329">
        <f>327*0.89*(100%-6.7%)</f>
        <v>271.53099000000003</v>
      </c>
      <c r="G74" s="142"/>
      <c r="H74" s="142"/>
      <c r="I74" s="142"/>
      <c r="J74" s="142"/>
      <c r="K74" s="142"/>
      <c r="L74" s="142"/>
      <c r="M74" s="142"/>
      <c r="N74" s="142"/>
      <c r="O74" s="142"/>
      <c r="P74" s="329">
        <f>327*0.89*6.7%</f>
        <v>19.499010000000002</v>
      </c>
      <c r="Q74" s="136"/>
      <c r="R74" s="136"/>
      <c r="S74" s="136"/>
      <c r="T74" s="136"/>
      <c r="U74" s="136"/>
      <c r="V74" s="136"/>
      <c r="W74" s="136"/>
      <c r="X74" s="151">
        <f t="shared" si="0"/>
        <v>291.03000000000003</v>
      </c>
      <c r="Y74" s="138" t="s">
        <v>121</v>
      </c>
      <c r="Z74" s="135"/>
      <c r="AA74" s="136">
        <v>25</v>
      </c>
      <c r="AB74" s="136"/>
      <c r="AC74" s="137"/>
      <c r="AD74" s="135"/>
      <c r="AE74" s="137"/>
      <c r="AF74" s="135"/>
      <c r="AG74" s="137"/>
      <c r="AH74" s="108">
        <f t="shared" si="6"/>
        <v>72.757500000000007</v>
      </c>
      <c r="AI74" s="153"/>
      <c r="AJ74" s="136"/>
      <c r="AK74" s="136"/>
      <c r="AL74" s="136"/>
      <c r="AM74" s="136"/>
      <c r="AN74" s="136"/>
      <c r="AO74" s="136"/>
      <c r="AP74" s="136"/>
      <c r="AQ74" s="137">
        <f>X74*AA74/100</f>
        <v>72.757500000000007</v>
      </c>
    </row>
    <row r="75" spans="1:43" ht="15" customHeight="1" x14ac:dyDescent="0.25">
      <c r="A75" s="135"/>
      <c r="B75" s="136"/>
      <c r="C75" s="136"/>
      <c r="D75" s="136"/>
      <c r="E75" s="136"/>
      <c r="F75" s="329">
        <f>112.7*1.06*(100%-6.7%)</f>
        <v>111.45804600000001</v>
      </c>
      <c r="G75" s="142"/>
      <c r="H75" s="142"/>
      <c r="I75" s="142"/>
      <c r="J75" s="142"/>
      <c r="K75" s="142"/>
      <c r="L75" s="142"/>
      <c r="M75" s="142"/>
      <c r="N75" s="142"/>
      <c r="O75" s="142"/>
      <c r="P75" s="329">
        <f>112.7*1.06*6.7%</f>
        <v>8.0039540000000002</v>
      </c>
      <c r="Q75" s="136"/>
      <c r="R75" s="136"/>
      <c r="S75" s="136"/>
      <c r="T75" s="136"/>
      <c r="U75" s="136"/>
      <c r="V75" s="136"/>
      <c r="W75" s="136"/>
      <c r="X75" s="151">
        <f t="shared" si="0"/>
        <v>119.46200000000002</v>
      </c>
      <c r="Y75" s="138" t="s">
        <v>9</v>
      </c>
      <c r="Z75" s="135"/>
      <c r="AA75" s="136">
        <v>33</v>
      </c>
      <c r="AB75" s="136"/>
      <c r="AC75" s="137"/>
      <c r="AD75" s="135"/>
      <c r="AE75" s="137"/>
      <c r="AF75" s="135"/>
      <c r="AG75" s="137"/>
      <c r="AH75" s="108">
        <f t="shared" si="6"/>
        <v>39.422460000000008</v>
      </c>
      <c r="AI75" s="153"/>
      <c r="AJ75" s="136"/>
      <c r="AK75" s="136"/>
      <c r="AL75" s="136"/>
      <c r="AM75" s="136"/>
      <c r="AN75" s="136"/>
      <c r="AO75" s="136"/>
      <c r="AP75" s="136"/>
      <c r="AQ75" s="137">
        <f>X75*AA75/100</f>
        <v>39.422460000000008</v>
      </c>
    </row>
    <row r="76" spans="1:43" ht="15" customHeight="1" x14ac:dyDescent="0.25">
      <c r="A76" s="135"/>
      <c r="B76" s="136"/>
      <c r="C76" s="136"/>
      <c r="D76" s="136"/>
      <c r="E76" s="136"/>
      <c r="F76" s="329">
        <f>280.3*1.06*(100%-6.7%)</f>
        <v>277.21109400000006</v>
      </c>
      <c r="G76" s="142"/>
      <c r="H76" s="142"/>
      <c r="I76" s="142"/>
      <c r="J76" s="142"/>
      <c r="K76" s="142"/>
      <c r="L76" s="142"/>
      <c r="M76" s="142"/>
      <c r="N76" s="142"/>
      <c r="O76" s="142"/>
      <c r="P76" s="329">
        <f>280.3*6.7%</f>
        <v>18.780100000000001</v>
      </c>
      <c r="Q76" s="136"/>
      <c r="R76" s="136"/>
      <c r="S76" s="136"/>
      <c r="T76" s="136"/>
      <c r="U76" s="136"/>
      <c r="V76" s="136"/>
      <c r="W76" s="136"/>
      <c r="X76" s="137">
        <f>SUM(A76:W76)</f>
        <v>295.99119400000006</v>
      </c>
      <c r="Y76" s="138" t="s">
        <v>70</v>
      </c>
      <c r="Z76" s="135"/>
      <c r="AA76" s="136">
        <v>33</v>
      </c>
      <c r="AB76" s="136"/>
      <c r="AC76" s="137"/>
      <c r="AD76" s="135"/>
      <c r="AE76" s="137"/>
      <c r="AF76" s="135"/>
      <c r="AG76" s="137"/>
      <c r="AH76" s="108">
        <f t="shared" si="6"/>
        <v>97.677094020000027</v>
      </c>
      <c r="AI76" s="153"/>
      <c r="AJ76" s="136"/>
      <c r="AK76" s="136"/>
      <c r="AL76" s="136"/>
      <c r="AM76" s="136"/>
      <c r="AN76" s="136"/>
      <c r="AO76" s="136"/>
      <c r="AP76" s="136"/>
      <c r="AQ76" s="137">
        <f>X76*AA76/100</f>
        <v>97.677094020000027</v>
      </c>
    </row>
    <row r="77" spans="1:43" ht="15" customHeight="1" x14ac:dyDescent="0.25">
      <c r="A77" s="135"/>
      <c r="B77" s="136"/>
      <c r="C77" s="136"/>
      <c r="D77" s="136"/>
      <c r="E77" s="136"/>
      <c r="F77" s="110">
        <v>266.8</v>
      </c>
      <c r="G77" s="142"/>
      <c r="H77" s="142"/>
      <c r="I77" s="142"/>
      <c r="J77" s="142"/>
      <c r="K77" s="142"/>
      <c r="L77" s="142"/>
      <c r="M77" s="142"/>
      <c r="N77" s="142"/>
      <c r="O77" s="142"/>
      <c r="P77" s="142"/>
      <c r="Q77" s="136"/>
      <c r="R77" s="136"/>
      <c r="S77" s="136"/>
      <c r="T77" s="136"/>
      <c r="U77" s="136"/>
      <c r="V77" s="136"/>
      <c r="W77" s="136"/>
      <c r="X77" s="137">
        <f>SUM(A77:W77)</f>
        <v>266.8</v>
      </c>
      <c r="Y77" s="138" t="s">
        <v>10</v>
      </c>
      <c r="Z77" s="135"/>
      <c r="AA77" s="136">
        <v>33</v>
      </c>
      <c r="AB77" s="136"/>
      <c r="AC77" s="137"/>
      <c r="AD77" s="135"/>
      <c r="AE77" s="137"/>
      <c r="AF77" s="135"/>
      <c r="AG77" s="137"/>
      <c r="AH77" s="108">
        <f t="shared" si="6"/>
        <v>88.044000000000011</v>
      </c>
      <c r="AI77" s="153"/>
      <c r="AJ77" s="136"/>
      <c r="AK77" s="136"/>
      <c r="AL77" s="136"/>
      <c r="AM77" s="136"/>
      <c r="AN77" s="136"/>
      <c r="AO77" s="136"/>
      <c r="AP77" s="136">
        <f>X77*AA77%</f>
        <v>88.044000000000011</v>
      </c>
      <c r="AQ77" s="137"/>
    </row>
    <row r="78" spans="1:43" ht="15" customHeight="1" x14ac:dyDescent="0.25">
      <c r="A78" s="174"/>
      <c r="B78" s="175"/>
      <c r="C78" s="175"/>
      <c r="D78" s="176"/>
      <c r="E78" s="176"/>
      <c r="F78" s="331">
        <f>51.5*0.3</f>
        <v>15.45</v>
      </c>
      <c r="G78" s="176"/>
      <c r="H78" s="176"/>
      <c r="I78" s="176"/>
      <c r="J78" s="176"/>
      <c r="K78" s="175"/>
      <c r="L78" s="175"/>
      <c r="M78" s="175"/>
      <c r="N78" s="175"/>
      <c r="O78" s="175"/>
      <c r="P78" s="175"/>
      <c r="Q78" s="175"/>
      <c r="R78" s="175"/>
      <c r="S78" s="175"/>
      <c r="T78" s="175"/>
      <c r="U78" s="175"/>
      <c r="V78" s="175"/>
      <c r="W78" s="175"/>
      <c r="X78" s="137">
        <f>SUM(A78:W78)</f>
        <v>15.45</v>
      </c>
      <c r="Y78" s="177" t="s">
        <v>32</v>
      </c>
      <c r="Z78" s="174"/>
      <c r="AA78" s="136">
        <v>33</v>
      </c>
      <c r="AB78" s="175"/>
      <c r="AC78" s="178"/>
      <c r="AD78" s="135">
        <f>-AE78/$D$2%</f>
        <v>0</v>
      </c>
      <c r="AE78" s="179"/>
      <c r="AF78" s="174"/>
      <c r="AG78" s="178"/>
      <c r="AH78" s="108">
        <f t="shared" si="6"/>
        <v>5.0984999999999996</v>
      </c>
      <c r="AI78" s="180"/>
      <c r="AJ78" s="175"/>
      <c r="AK78" s="175"/>
      <c r="AL78" s="175"/>
      <c r="AM78" s="175"/>
      <c r="AN78" s="175"/>
      <c r="AO78" s="175"/>
      <c r="AP78" s="175"/>
      <c r="AQ78" s="137">
        <f>X78*AA78/100+AE78*AA78%</f>
        <v>5.0984999999999996</v>
      </c>
    </row>
    <row r="79" spans="1:43" ht="15" customHeight="1" x14ac:dyDescent="0.25">
      <c r="A79" s="174"/>
      <c r="B79" s="175"/>
      <c r="C79" s="175"/>
      <c r="D79" s="176"/>
      <c r="E79" s="176"/>
      <c r="F79" s="176"/>
      <c r="G79" s="331">
        <f>760.2*1.07</f>
        <v>813.4140000000001</v>
      </c>
      <c r="H79" s="329">
        <f>0.8*1.07</f>
        <v>0.85600000000000009</v>
      </c>
      <c r="I79" s="176"/>
      <c r="J79" s="176"/>
      <c r="K79" s="175"/>
      <c r="L79" s="175"/>
      <c r="M79" s="175"/>
      <c r="N79" s="175"/>
      <c r="O79" s="175"/>
      <c r="P79" s="175"/>
      <c r="Q79" s="175"/>
      <c r="R79" s="175"/>
      <c r="S79" s="175"/>
      <c r="T79" s="175"/>
      <c r="U79" s="175"/>
      <c r="V79" s="175"/>
      <c r="W79" s="175"/>
      <c r="X79" s="137">
        <f>SUM(A79:W79)</f>
        <v>814.2700000000001</v>
      </c>
      <c r="Y79" s="177" t="s">
        <v>33</v>
      </c>
      <c r="Z79" s="174"/>
      <c r="AA79" s="136">
        <v>33</v>
      </c>
      <c r="AB79" s="175"/>
      <c r="AC79" s="178"/>
      <c r="AD79" s="174"/>
      <c r="AE79" s="178"/>
      <c r="AF79" s="174"/>
      <c r="AG79" s="178"/>
      <c r="AH79" s="108">
        <f t="shared" si="6"/>
        <v>268.70910000000003</v>
      </c>
      <c r="AI79" s="180"/>
      <c r="AJ79" s="175"/>
      <c r="AK79" s="175"/>
      <c r="AL79" s="175"/>
      <c r="AM79" s="175"/>
      <c r="AN79" s="175"/>
      <c r="AO79" s="175"/>
      <c r="AP79" s="175"/>
      <c r="AQ79" s="137">
        <f>X79*AA79/100</f>
        <v>268.70910000000003</v>
      </c>
    </row>
    <row r="80" spans="1:43" ht="15" customHeight="1" thickBot="1" x14ac:dyDescent="0.3">
      <c r="A80" s="174"/>
      <c r="B80" s="175"/>
      <c r="C80" s="175"/>
      <c r="D80" s="331">
        <f>0.1*0.95</f>
        <v>9.5000000000000001E-2</v>
      </c>
      <c r="E80" s="176"/>
      <c r="F80" s="331">
        <f>108.6*0.95</f>
        <v>103.16999999999999</v>
      </c>
      <c r="G80" s="176"/>
      <c r="H80" s="176"/>
      <c r="I80" s="176"/>
      <c r="J80" s="176"/>
      <c r="K80" s="175"/>
      <c r="L80" s="175"/>
      <c r="M80" s="175"/>
      <c r="N80" s="175"/>
      <c r="O80" s="175"/>
      <c r="P80" s="175"/>
      <c r="Q80" s="175"/>
      <c r="R80" s="175"/>
      <c r="S80" s="175"/>
      <c r="T80" s="175"/>
      <c r="U80" s="175"/>
      <c r="V80" s="175"/>
      <c r="W80" s="175"/>
      <c r="X80" s="178">
        <f t="shared" si="0"/>
        <v>103.26499999999999</v>
      </c>
      <c r="Y80" s="181" t="s">
        <v>11</v>
      </c>
      <c r="Z80" s="182"/>
      <c r="AA80" s="136">
        <v>33</v>
      </c>
      <c r="AB80" s="183"/>
      <c r="AC80" s="184"/>
      <c r="AD80" s="182"/>
      <c r="AE80" s="184"/>
      <c r="AF80" s="182"/>
      <c r="AG80" s="184"/>
      <c r="AH80" s="109">
        <f t="shared" si="6"/>
        <v>34.077449999999992</v>
      </c>
      <c r="AI80" s="185"/>
      <c r="AJ80" s="183"/>
      <c r="AK80" s="183"/>
      <c r="AL80" s="183"/>
      <c r="AM80" s="183"/>
      <c r="AN80" s="183"/>
      <c r="AO80" s="183"/>
      <c r="AP80" s="183"/>
      <c r="AQ80" s="137">
        <f>X80*AA80/100</f>
        <v>34.077449999999992</v>
      </c>
    </row>
    <row r="81" spans="1:44" ht="15" customHeight="1" thickBot="1" x14ac:dyDescent="0.3">
      <c r="A81" s="186">
        <f t="shared" ref="A81:W81" si="8">SUM(A8:A80)</f>
        <v>-891.58406646395622</v>
      </c>
      <c r="B81" s="187">
        <f t="shared" si="8"/>
        <v>43</v>
      </c>
      <c r="C81" s="187">
        <f t="shared" si="8"/>
        <v>8.9280000000000008</v>
      </c>
      <c r="D81" s="187">
        <f t="shared" si="8"/>
        <v>9.5000000000000001E-2</v>
      </c>
      <c r="E81" s="187">
        <f t="shared" si="8"/>
        <v>80.21759999999999</v>
      </c>
      <c r="F81" s="187">
        <f t="shared" si="8"/>
        <v>1720.793977</v>
      </c>
      <c r="G81" s="187">
        <f t="shared" si="8"/>
        <v>813.4140000000001</v>
      </c>
      <c r="H81" s="187">
        <f t="shared" si="8"/>
        <v>787.57062700000006</v>
      </c>
      <c r="I81" s="187">
        <f t="shared" si="8"/>
        <v>1045.4923199999998</v>
      </c>
      <c r="J81" s="187">
        <f t="shared" si="8"/>
        <v>2195.6</v>
      </c>
      <c r="K81" s="187">
        <f t="shared" si="8"/>
        <v>0</v>
      </c>
      <c r="L81" s="187">
        <f t="shared" si="8"/>
        <v>237.26000000000002</v>
      </c>
      <c r="M81" s="187">
        <f t="shared" si="8"/>
        <v>0</v>
      </c>
      <c r="N81" s="187">
        <f t="shared" si="8"/>
        <v>207.98000000000002</v>
      </c>
      <c r="O81" s="187">
        <f t="shared" si="8"/>
        <v>3.35616</v>
      </c>
      <c r="P81" s="187">
        <f t="shared" si="8"/>
        <v>144.43446</v>
      </c>
      <c r="Q81" s="187">
        <f t="shared" si="8"/>
        <v>183.36</v>
      </c>
      <c r="R81" s="187">
        <f t="shared" si="8"/>
        <v>2186.3040000000001</v>
      </c>
      <c r="S81" s="187">
        <f t="shared" si="8"/>
        <v>975.55400000000009</v>
      </c>
      <c r="T81" s="187">
        <f t="shared" si="8"/>
        <v>3.9398399999999998</v>
      </c>
      <c r="U81" s="187">
        <f t="shared" si="8"/>
        <v>0</v>
      </c>
      <c r="V81" s="187">
        <f t="shared" si="8"/>
        <v>22.176000000000002</v>
      </c>
      <c r="W81" s="187">
        <f t="shared" si="8"/>
        <v>0</v>
      </c>
      <c r="X81" s="188">
        <f>SUM(X8:X80)</f>
        <v>9767.8919175360443</v>
      </c>
      <c r="Y81" s="20" t="s">
        <v>2</v>
      </c>
      <c r="Z81" s="189"/>
      <c r="AA81" s="189"/>
      <c r="AB81" s="189"/>
      <c r="AC81" s="189"/>
      <c r="AD81" s="186">
        <f t="shared" ref="AD81:AQ81" si="9">SUM(AD8:AD80)</f>
        <v>6.6968652845389443E-13</v>
      </c>
      <c r="AE81" s="188">
        <f t="shared" si="9"/>
        <v>1829.1125487256556</v>
      </c>
      <c r="AF81" s="186">
        <f t="shared" si="9"/>
        <v>0</v>
      </c>
      <c r="AG81" s="188">
        <f t="shared" si="9"/>
        <v>1688.5352916751845</v>
      </c>
      <c r="AH81" s="20">
        <f t="shared" si="9"/>
        <v>5926.0983332299293</v>
      </c>
      <c r="AI81" s="190">
        <f t="shared" si="9"/>
        <v>2779.1512462283099</v>
      </c>
      <c r="AJ81" s="187">
        <f t="shared" si="9"/>
        <v>294.30251081140295</v>
      </c>
      <c r="AK81" s="187">
        <f t="shared" si="9"/>
        <v>325.34135483969146</v>
      </c>
      <c r="AL81" s="187">
        <f t="shared" si="9"/>
        <v>264.91719251593793</v>
      </c>
      <c r="AM81" s="187">
        <f t="shared" si="9"/>
        <v>12.772946267896687</v>
      </c>
      <c r="AN81" s="187">
        <f t="shared" si="9"/>
        <v>1027.6416693834171</v>
      </c>
      <c r="AO81" s="187">
        <f t="shared" si="9"/>
        <v>26.353084407795581</v>
      </c>
      <c r="AP81" s="187">
        <f t="shared" si="9"/>
        <v>159.18970075547767</v>
      </c>
      <c r="AQ81" s="188">
        <f t="shared" si="9"/>
        <v>1036.4286280200001</v>
      </c>
    </row>
    <row r="82" spans="1:44" ht="15" customHeight="1" x14ac:dyDescent="0.35">
      <c r="A82" s="150">
        <f t="shared" ref="A82:V82" si="10">A81*A89/1000</f>
        <v>0</v>
      </c>
      <c r="B82" s="147">
        <f t="shared" si="10"/>
        <v>2.7133000000000003</v>
      </c>
      <c r="C82" s="147">
        <f t="shared" si="10"/>
        <v>0.84771360000000018</v>
      </c>
      <c r="D82" s="147">
        <f t="shared" si="10"/>
        <v>7.4898000000000005E-3</v>
      </c>
      <c r="E82" s="147">
        <f t="shared" si="10"/>
        <v>5.9361023999999984</v>
      </c>
      <c r="F82" s="147">
        <f t="shared" si="10"/>
        <v>127.338754298</v>
      </c>
      <c r="G82" s="147">
        <f t="shared" si="10"/>
        <v>58.565808000000004</v>
      </c>
      <c r="H82" s="147">
        <f t="shared" si="10"/>
        <v>57.492655771000003</v>
      </c>
      <c r="I82" s="147">
        <f t="shared" si="10"/>
        <v>59.593062239999995</v>
      </c>
      <c r="J82" s="147">
        <f t="shared" si="10"/>
        <v>0</v>
      </c>
      <c r="K82" s="147">
        <f t="shared" si="10"/>
        <v>0</v>
      </c>
      <c r="L82" s="147">
        <f t="shared" si="10"/>
        <v>0</v>
      </c>
      <c r="M82" s="147">
        <f t="shared" si="10"/>
        <v>0</v>
      </c>
      <c r="N82" s="147">
        <v>0</v>
      </c>
      <c r="O82" s="147">
        <f t="shared" si="10"/>
        <v>0</v>
      </c>
      <c r="P82" s="147">
        <f t="shared" si="10"/>
        <v>0</v>
      </c>
      <c r="Q82" s="147">
        <f t="shared" si="10"/>
        <v>0</v>
      </c>
      <c r="R82" s="147">
        <f t="shared" si="10"/>
        <v>0</v>
      </c>
      <c r="S82" s="147">
        <f t="shared" si="10"/>
        <v>0</v>
      </c>
      <c r="T82" s="147">
        <f t="shared" si="10"/>
        <v>0</v>
      </c>
      <c r="U82" s="147">
        <f t="shared" si="10"/>
        <v>0</v>
      </c>
      <c r="V82" s="147">
        <f t="shared" si="10"/>
        <v>0</v>
      </c>
      <c r="W82" s="147">
        <f>W81*W89/1000</f>
        <v>0</v>
      </c>
      <c r="X82" s="151">
        <f>SUM(A82:W82)</f>
        <v>312.49488610899999</v>
      </c>
      <c r="Y82" s="21" t="s">
        <v>256</v>
      </c>
      <c r="Z82" s="191">
        <f>X82*1000/D1</f>
        <v>2.7378209751971263</v>
      </c>
      <c r="AA82" s="192" t="s">
        <v>12</v>
      </c>
      <c r="AB82" s="192"/>
      <c r="AC82" s="193"/>
      <c r="AD82" s="19"/>
      <c r="AE82" s="19"/>
      <c r="AF82" s="19"/>
      <c r="AG82" s="19"/>
      <c r="AH82" s="19"/>
      <c r="AI82" s="19"/>
      <c r="AJ82" s="19"/>
      <c r="AK82" s="19"/>
      <c r="AL82" s="19"/>
      <c r="AM82" s="19"/>
      <c r="AN82" s="19"/>
      <c r="AO82" s="19"/>
      <c r="AP82" s="19"/>
      <c r="AQ82" s="19"/>
    </row>
    <row r="83" spans="1:44" ht="15" customHeight="1" x14ac:dyDescent="0.25">
      <c r="A83" s="135"/>
      <c r="B83" s="136"/>
      <c r="C83" s="136"/>
      <c r="D83" s="136"/>
      <c r="E83" s="136"/>
      <c r="F83" s="136"/>
      <c r="G83" s="136"/>
      <c r="H83" s="136"/>
      <c r="I83" s="136"/>
      <c r="J83" s="136"/>
      <c r="K83" s="136"/>
      <c r="L83" s="136"/>
      <c r="M83" s="136"/>
      <c r="N83" s="136"/>
      <c r="O83" s="110">
        <v>263</v>
      </c>
      <c r="P83" s="110">
        <v>956</v>
      </c>
      <c r="Q83" s="110">
        <v>946</v>
      </c>
      <c r="R83" s="110">
        <v>438</v>
      </c>
      <c r="S83" s="136"/>
      <c r="T83" s="136"/>
      <c r="U83" s="136"/>
      <c r="V83" s="136"/>
      <c r="W83" s="136"/>
      <c r="X83" s="137">
        <f>SUM(A83:W83)</f>
        <v>2603</v>
      </c>
      <c r="Y83" s="108" t="s">
        <v>35</v>
      </c>
      <c r="Z83" s="93">
        <f>(SUM(J14:V14)+AD15*A87%+SUM(J19:V19)+SUM(J20:V20)+SUM(J21:V21)+SUM(J22:V22)+SUM(J25:V25)+SUM(J72:V72)+SUM(J73:V73)+SUM(J74:V74)+SUM(J75:V75)+SUM(J76:V76)+SUM(J77:V77)+SUM(J78:V78)+SUM(J79:V79)+SUM(J80:V80)+SUM(J26:V26)*(Z26%+AB26%)+SUM(J27:V27)*(Z27%+AB27%)+SUM(J28:V28)*(Z28%+AB28%)+SUM(J29:V29)*(Z29%+AB29%)+SUM(J30:V30)*(Z30%+AB30%)+SUM(J32:V32)*(Z32%+AA32%+AB32%)+SUM(J31:V31)*(AA31%)+SUM(J33:V33)*(Z33%+AB33%)+SUM(J34:V34)*(Z34%+AB34%)+SUM(J35:V35)*(Z35%+AB35%)+SUM(J36:V36)*(Z36%+AB36%)+SUM(J37:V37)+SUM(J40:V40)*(Z40%+AB40%)+SUM(J41:V41)*(Z41%+AB41%)+SUM(J42:V42)*(Z42%+AB42%)+SUM(J44:V44)*(Z44%+AB44%)+SUM(J45:V45)*(Z45%+AB45%)+SUM(J46:V46)*(Z46%+AB46%)+SUM(J47:V47)*(Z47%+AB47%)+SUM(J48:V48)+SUM(J50:V50)*(Z50%+AB50%)+SUM(J51:V51)*(Z51%+AB51%)+SUM(J53:V53)*(Z53%+AA53%+AB53%)+SUM(J54:V54)*(Z54%+AA54%+AB54%)+SUM(J56:V56)*(Z56%+AB56%)+SUM(J57:V57)+SUM(J59:V59)*(Z59%+AB59%)+SUM(J60:V60)*(Z60%+AB60%)+SUM(J61:V61)*(Z61%+AB61%)+SUM(J63:V63)*(Z63%+AB63%)+SUM(J64:V64)*(Z64%+AB64%)+SUM(J65:V65)*(Z65%+AB65%)+SUM(J66:V66)*(Z66%+AB66%)+SUM(J67:V67)*(Z67%+AB67%)+SUM(J68:V68)*(Z68%+AB68%))/(SUM(X8:X14)+SUM(X16:X25)+X32*AA32%+X53*AA53%+X54*AA54%+SUM(X72:X80)+(AG39/AC39%+AG43/AC43%+AG52/AC52%+AG55/AC55%+AG62/AC62%+AG71/AC71%)+AE81+SUM(AE8:AE14)*(1-D2%)+(-AF70))*100</f>
        <v>58.857359008438458</v>
      </c>
      <c r="AA83" s="2" t="s">
        <v>210</v>
      </c>
      <c r="AB83" s="2"/>
      <c r="AC83" s="117"/>
      <c r="AD83" s="19"/>
      <c r="AE83" s="19"/>
      <c r="AF83" s="19"/>
      <c r="AG83" s="19"/>
      <c r="AH83" s="19"/>
      <c r="AI83" s="19"/>
      <c r="AJ83" s="19"/>
      <c r="AK83" s="19"/>
      <c r="AL83" s="19"/>
      <c r="AM83" s="19"/>
      <c r="AN83" s="19"/>
      <c r="AO83" s="19"/>
      <c r="AP83" s="19"/>
      <c r="AQ83" s="19"/>
    </row>
    <row r="84" spans="1:44" ht="15" customHeight="1" thickBot="1" x14ac:dyDescent="0.3">
      <c r="A84" s="182"/>
      <c r="B84" s="183"/>
      <c r="C84" s="183"/>
      <c r="D84" s="183"/>
      <c r="E84" s="183"/>
      <c r="F84" s="183"/>
      <c r="G84" s="183"/>
      <c r="H84" s="183"/>
      <c r="I84" s="183"/>
      <c r="J84" s="183" t="str">
        <f>IF(J83&gt;0,J81/J83*100,"")</f>
        <v/>
      </c>
      <c r="K84" s="183" t="str">
        <f t="shared" ref="K84:W84" si="11">IF(K83&gt;0,K81/K83*100,"")</f>
        <v/>
      </c>
      <c r="L84" s="183" t="str">
        <f t="shared" si="11"/>
        <v/>
      </c>
      <c r="M84" s="183" t="str">
        <f t="shared" si="11"/>
        <v/>
      </c>
      <c r="N84" s="183" t="str">
        <f t="shared" si="11"/>
        <v/>
      </c>
      <c r="O84" s="183">
        <f t="shared" si="11"/>
        <v>1.276106463878327</v>
      </c>
      <c r="P84" s="183">
        <f t="shared" si="11"/>
        <v>15.108207112970712</v>
      </c>
      <c r="Q84" s="183">
        <f t="shared" si="11"/>
        <v>19.38266384778013</v>
      </c>
      <c r="R84" s="183">
        <f t="shared" si="11"/>
        <v>499.15616438356165</v>
      </c>
      <c r="S84" s="183" t="str">
        <f t="shared" si="11"/>
        <v/>
      </c>
      <c r="T84" s="183" t="str">
        <f t="shared" si="11"/>
        <v/>
      </c>
      <c r="U84" s="183" t="str">
        <f t="shared" si="11"/>
        <v/>
      </c>
      <c r="V84" s="183" t="str">
        <f>IF(V83&gt;0,V81/V83*100,"")</f>
        <v/>
      </c>
      <c r="W84" s="183" t="str">
        <f t="shared" si="11"/>
        <v/>
      </c>
      <c r="X84" s="184">
        <f>SUMIF(J83:W83,"&gt;0",J81:W81)/SUM(J83:W83)%</f>
        <v>96.713585094122166</v>
      </c>
      <c r="Y84" s="109" t="s">
        <v>38</v>
      </c>
      <c r="Z84" s="118">
        <f>SUM(J81:V81)/X81*100</f>
        <v>63.063397015492924</v>
      </c>
      <c r="AA84" s="94" t="s">
        <v>263</v>
      </c>
      <c r="AB84" s="94"/>
      <c r="AC84" s="119"/>
      <c r="AD84" s="19"/>
      <c r="AE84" s="19"/>
      <c r="AF84" s="19"/>
      <c r="AG84" s="19"/>
      <c r="AH84" s="19"/>
      <c r="AI84" s="19"/>
      <c r="AJ84" s="19"/>
      <c r="AK84" s="19"/>
      <c r="AL84" s="19"/>
      <c r="AM84" s="19"/>
      <c r="AN84" s="19"/>
      <c r="AO84" s="19"/>
      <c r="AP84" s="19"/>
      <c r="AQ84" s="19"/>
    </row>
    <row r="85" spans="1:44" ht="15" customHeight="1" thickBo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4" ht="17.25" customHeight="1" x14ac:dyDescent="0.25">
      <c r="A86" s="194" t="s">
        <v>122</v>
      </c>
      <c r="B86" s="422" t="str">
        <f t="shared" ref="B86:W86" si="12">B7</f>
        <v xml:space="preserve">  LPG og petroleum</v>
      </c>
      <c r="C86" s="422" t="str">
        <f t="shared" si="12"/>
        <v xml:space="preserve">  Kul</v>
      </c>
      <c r="D86" s="422" t="str">
        <f t="shared" si="12"/>
        <v xml:space="preserve">  Fuelolie</v>
      </c>
      <c r="E86" s="422" t="str">
        <f t="shared" si="12"/>
        <v xml:space="preserve">  Brændselsolie</v>
      </c>
      <c r="F86" s="422" t="str">
        <f t="shared" si="12"/>
        <v xml:space="preserve">  Dieselolie</v>
      </c>
      <c r="G86" s="422" t="str">
        <f t="shared" si="12"/>
        <v xml:space="preserve">  JP1</v>
      </c>
      <c r="H86" s="422" t="str">
        <f t="shared" si="12"/>
        <v xml:space="preserve">  Benzin</v>
      </c>
      <c r="I86" s="422" t="str">
        <f t="shared" si="12"/>
        <v xml:space="preserve">  Naturgas</v>
      </c>
      <c r="J86" s="422" t="str">
        <f t="shared" si="12"/>
        <v xml:space="preserve">  Vindenergi</v>
      </c>
      <c r="K86" s="422" t="str">
        <f t="shared" si="12"/>
        <v xml:space="preserve">  Vandenergi</v>
      </c>
      <c r="L86" s="422" t="str">
        <f t="shared" si="12"/>
        <v xml:space="preserve">  Solenergi</v>
      </c>
      <c r="M86" s="422" t="str">
        <f t="shared" si="12"/>
        <v xml:space="preserve">  Geotermi</v>
      </c>
      <c r="N86" s="422" t="str">
        <f t="shared" si="12"/>
        <v xml:space="preserve">  Varmekilder til varmepumper</v>
      </c>
      <c r="O86" s="422" t="str">
        <f t="shared" si="12"/>
        <v xml:space="preserve">  Husdyrsgødning</v>
      </c>
      <c r="P86" s="422" t="str">
        <f t="shared" si="12"/>
        <v xml:space="preserve">  Biobrændstof og energiafgrøder</v>
      </c>
      <c r="Q86" s="422" t="str">
        <f t="shared" si="12"/>
        <v xml:space="preserve">  Halm</v>
      </c>
      <c r="R86" s="422" t="str">
        <f t="shared" si="12"/>
        <v xml:space="preserve">  Brænde og træflis</v>
      </c>
      <c r="S86" s="422" t="str">
        <f t="shared" si="12"/>
        <v xml:space="preserve">  Træpiller og træaffald</v>
      </c>
      <c r="T86" s="422" t="str">
        <f t="shared" si="12"/>
        <v xml:space="preserve">  Organisk affald, industri</v>
      </c>
      <c r="U86" s="422" t="str">
        <f t="shared" si="12"/>
        <v xml:space="preserve">  Organisk affald, husholdninger</v>
      </c>
      <c r="V86" s="422" t="str">
        <f t="shared" si="12"/>
        <v xml:space="preserve">  Deponi, slam, renseanlæg</v>
      </c>
      <c r="W86" s="425" t="str">
        <f t="shared" si="12"/>
        <v xml:space="preserve">  Affald, ikke bionedbrydeligt</v>
      </c>
      <c r="X86" s="4"/>
      <c r="Y86" s="4"/>
      <c r="Z86" s="4"/>
      <c r="AA86" s="4"/>
      <c r="AB86" s="4"/>
      <c r="AC86" s="4"/>
      <c r="AD86" s="4"/>
      <c r="AE86" s="4"/>
      <c r="AF86" s="4"/>
      <c r="AG86" s="4"/>
      <c r="AH86" s="4"/>
      <c r="AI86" s="4"/>
      <c r="AJ86" s="4"/>
      <c r="AK86" s="4"/>
      <c r="AL86" s="4"/>
      <c r="AM86" s="4"/>
      <c r="AN86" s="4"/>
      <c r="AO86" s="4"/>
      <c r="AP86" s="4"/>
      <c r="AQ86" s="4"/>
    </row>
    <row r="87" spans="1:44" ht="24.6" x14ac:dyDescent="0.25">
      <c r="A87" s="278">
        <v>44</v>
      </c>
      <c r="B87" s="423"/>
      <c r="C87" s="423"/>
      <c r="D87" s="423"/>
      <c r="E87" s="423"/>
      <c r="F87" s="423"/>
      <c r="G87" s="423"/>
      <c r="H87" s="423"/>
      <c r="I87" s="423"/>
      <c r="J87" s="423"/>
      <c r="K87" s="423"/>
      <c r="L87" s="423"/>
      <c r="M87" s="423"/>
      <c r="N87" s="423"/>
      <c r="O87" s="423"/>
      <c r="P87" s="423"/>
      <c r="Q87" s="423"/>
      <c r="R87" s="423"/>
      <c r="S87" s="423"/>
      <c r="T87" s="423"/>
      <c r="U87" s="423"/>
      <c r="V87" s="423"/>
      <c r="W87" s="426"/>
      <c r="X87" s="4"/>
      <c r="Y87" s="4"/>
      <c r="Z87" s="4"/>
      <c r="AA87" s="4"/>
      <c r="AB87" s="4"/>
      <c r="AC87" s="4"/>
      <c r="AD87" s="4"/>
      <c r="AE87" s="4"/>
      <c r="AF87" s="4"/>
      <c r="AG87" s="4"/>
      <c r="AH87" s="4"/>
      <c r="AI87" s="4"/>
      <c r="AJ87" s="4"/>
      <c r="AK87" s="4"/>
      <c r="AL87" s="4"/>
      <c r="AM87" s="4"/>
      <c r="AN87" s="4"/>
      <c r="AO87" s="4"/>
      <c r="AP87" s="4"/>
      <c r="AQ87" s="4"/>
    </row>
    <row r="88" spans="1:44" ht="123" customHeight="1" thickBot="1" x14ac:dyDescent="0.3">
      <c r="A88" s="195" t="s">
        <v>123</v>
      </c>
      <c r="B88" s="424"/>
      <c r="C88" s="424"/>
      <c r="D88" s="424"/>
      <c r="E88" s="424"/>
      <c r="F88" s="424"/>
      <c r="G88" s="424"/>
      <c r="H88" s="424"/>
      <c r="I88" s="424"/>
      <c r="J88" s="424"/>
      <c r="K88" s="424"/>
      <c r="L88" s="424"/>
      <c r="M88" s="424"/>
      <c r="N88" s="424"/>
      <c r="O88" s="424"/>
      <c r="P88" s="424"/>
      <c r="Q88" s="424"/>
      <c r="R88" s="424"/>
      <c r="S88" s="424"/>
      <c r="T88" s="424"/>
      <c r="U88" s="424"/>
      <c r="V88" s="424"/>
      <c r="W88" s="427"/>
      <c r="X88" s="4"/>
      <c r="Y88" s="4"/>
      <c r="Z88" s="4"/>
      <c r="AA88" s="4"/>
      <c r="AB88" s="4"/>
      <c r="AC88" s="4"/>
      <c r="AD88" s="4"/>
      <c r="AE88" s="4"/>
      <c r="AF88" s="4"/>
      <c r="AG88" s="4"/>
      <c r="AH88" s="4"/>
      <c r="AI88" s="4"/>
      <c r="AJ88" s="4"/>
      <c r="AK88" s="4"/>
      <c r="AL88" s="4"/>
      <c r="AM88" s="4"/>
      <c r="AN88" s="4"/>
      <c r="AO88" s="4"/>
      <c r="AP88" s="4"/>
      <c r="AQ88" s="4"/>
    </row>
    <row r="89" spans="1:44" s="25" customFormat="1" ht="15" customHeight="1" thickBot="1" x14ac:dyDescent="0.3">
      <c r="A89" s="279">
        <v>0</v>
      </c>
      <c r="B89" s="196">
        <v>63.1</v>
      </c>
      <c r="C89" s="196">
        <v>94.95</v>
      </c>
      <c r="D89" s="196">
        <v>78.84</v>
      </c>
      <c r="E89" s="196">
        <v>74</v>
      </c>
      <c r="F89" s="196">
        <v>74</v>
      </c>
      <c r="G89" s="196">
        <v>72</v>
      </c>
      <c r="H89" s="196">
        <v>73</v>
      </c>
      <c r="I89" s="196">
        <v>57</v>
      </c>
      <c r="J89" s="197"/>
      <c r="K89" s="197"/>
      <c r="L89" s="197"/>
      <c r="M89" s="197"/>
      <c r="N89" s="198"/>
      <c r="O89" s="197"/>
      <c r="P89" s="197"/>
      <c r="Q89" s="197"/>
      <c r="R89" s="197"/>
      <c r="S89" s="197"/>
      <c r="T89" s="197"/>
      <c r="U89" s="197"/>
      <c r="V89" s="198"/>
      <c r="W89" s="199">
        <v>82.22</v>
      </c>
      <c r="X89" s="200" t="s">
        <v>222</v>
      </c>
      <c r="Y89" s="23"/>
      <c r="Z89" s="24"/>
      <c r="AA89" s="24"/>
      <c r="AB89" s="24"/>
      <c r="AC89" s="24"/>
      <c r="AD89" s="24"/>
      <c r="AE89" s="24"/>
      <c r="AF89" s="24"/>
      <c r="AG89" s="24"/>
      <c r="AH89" s="24"/>
      <c r="AI89" s="24"/>
      <c r="AJ89" s="24"/>
      <c r="AK89" s="24"/>
      <c r="AL89" s="24"/>
      <c r="AM89" s="24"/>
      <c r="AN89" s="24"/>
      <c r="AO89" s="24"/>
      <c r="AP89" s="24"/>
      <c r="AQ89" s="24"/>
    </row>
    <row r="90" spans="1:44"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60"/>
      <c r="AA90" s="60"/>
      <c r="AB90" s="60"/>
      <c r="AC90" s="60"/>
      <c r="AD90" s="60"/>
      <c r="AE90" s="60"/>
      <c r="AF90" s="60"/>
      <c r="AG90" s="60"/>
      <c r="AH90" s="60"/>
      <c r="AI90" s="60"/>
      <c r="AJ90" s="60"/>
      <c r="AK90" s="60"/>
      <c r="AL90" s="60"/>
      <c r="AM90" s="60"/>
      <c r="AN90" s="60"/>
      <c r="AO90" s="60"/>
      <c r="AP90" s="60"/>
      <c r="AQ90" s="60"/>
      <c r="AR90" s="15"/>
    </row>
    <row r="91" spans="1:44" x14ac:dyDescent="0.25">
      <c r="A91" s="6"/>
      <c r="B91" s="6"/>
      <c r="C91" s="6"/>
      <c r="D91" s="6"/>
      <c r="E91" s="6"/>
      <c r="F91" s="6"/>
      <c r="G91" s="6"/>
      <c r="H91" s="6"/>
      <c r="I91" s="6"/>
      <c r="J91" s="6"/>
      <c r="K91" s="6"/>
      <c r="L91" s="6"/>
      <c r="M91" s="6"/>
      <c r="N91" s="6"/>
      <c r="O91" s="6"/>
      <c r="P91" s="6"/>
      <c r="Q91" s="6"/>
      <c r="R91" s="6"/>
      <c r="S91" s="6"/>
      <c r="T91" s="6"/>
      <c r="U91" s="6"/>
      <c r="V91" s="6"/>
      <c r="W91" s="6"/>
      <c r="X91" s="6"/>
      <c r="Y91" s="202"/>
    </row>
    <row r="92" spans="1:44" x14ac:dyDescent="0.25">
      <c r="A92" s="6"/>
      <c r="B92" s="6"/>
      <c r="C92" s="6"/>
      <c r="D92" s="6"/>
      <c r="E92" s="6"/>
      <c r="F92" s="6"/>
      <c r="G92" s="6"/>
      <c r="H92" s="6"/>
      <c r="I92" s="6"/>
      <c r="J92" s="6"/>
      <c r="K92" s="6"/>
      <c r="L92" s="6"/>
      <c r="M92" s="6"/>
      <c r="N92" s="6"/>
      <c r="O92" s="6"/>
      <c r="P92" s="6"/>
      <c r="Q92" s="6"/>
      <c r="R92" s="6"/>
      <c r="S92" s="6"/>
      <c r="T92" s="6"/>
      <c r="U92" s="6"/>
      <c r="V92" s="6"/>
      <c r="W92" s="6"/>
      <c r="X92" s="6"/>
      <c r="Y92" s="202"/>
      <c r="AG92" s="372" t="s">
        <v>1</v>
      </c>
    </row>
    <row r="93" spans="1:44" ht="12.75" customHeight="1" x14ac:dyDescent="0.4">
      <c r="A93" s="22"/>
      <c r="B93" s="6"/>
      <c r="C93" s="6"/>
      <c r="D93" s="6"/>
      <c r="E93" s="6"/>
      <c r="F93" s="6"/>
      <c r="G93" s="6"/>
      <c r="H93" s="6"/>
      <c r="I93" s="6"/>
      <c r="J93" s="6"/>
      <c r="K93" s="6"/>
      <c r="L93" s="6"/>
      <c r="M93" s="6"/>
      <c r="N93" s="6"/>
      <c r="O93" s="6"/>
      <c r="P93" s="6"/>
      <c r="Q93" s="6"/>
      <c r="R93" s="6"/>
      <c r="S93" s="6"/>
      <c r="T93" s="6"/>
      <c r="U93" s="6"/>
      <c r="V93" s="6"/>
      <c r="W93" s="6"/>
      <c r="X93" s="6"/>
      <c r="Y93" s="15"/>
      <c r="AG93" s="347" t="s">
        <v>137</v>
      </c>
      <c r="AH93" s="347" t="s">
        <v>274</v>
      </c>
      <c r="AI93" s="18" t="s">
        <v>277</v>
      </c>
    </row>
    <row r="94" spans="1:44" x14ac:dyDescent="0.25">
      <c r="A94" s="6"/>
      <c r="B94" s="6"/>
      <c r="C94" s="6"/>
      <c r="D94" s="6"/>
      <c r="E94" s="6"/>
      <c r="F94" s="6"/>
      <c r="G94" s="6"/>
      <c r="H94" s="419" t="s">
        <v>266</v>
      </c>
      <c r="I94" s="420"/>
      <c r="J94" s="6"/>
      <c r="K94" s="6"/>
      <c r="N94" s="6"/>
      <c r="O94" s="407" t="s">
        <v>269</v>
      </c>
      <c r="P94" s="407"/>
      <c r="Q94" s="6"/>
      <c r="R94" s="6"/>
      <c r="S94" s="6"/>
      <c r="T94" s="6"/>
      <c r="U94" s="6" t="s">
        <v>273</v>
      </c>
      <c r="V94" s="6"/>
      <c r="W94" s="6"/>
      <c r="X94" s="6"/>
      <c r="Y94" s="203"/>
      <c r="AF94" s="18">
        <v>2018</v>
      </c>
      <c r="AG94" s="347">
        <v>206</v>
      </c>
      <c r="AH94" s="347">
        <v>203</v>
      </c>
      <c r="AI94" s="18">
        <v>82</v>
      </c>
    </row>
    <row r="95" spans="1:44" x14ac:dyDescent="0.25">
      <c r="A95" s="6"/>
      <c r="B95" s="6"/>
      <c r="C95" s="6"/>
      <c r="D95" s="6"/>
      <c r="E95" s="6"/>
      <c r="F95" s="6"/>
      <c r="G95" s="6"/>
      <c r="H95" s="332">
        <v>2030</v>
      </c>
      <c r="I95" s="332">
        <f>I96*0.3</f>
        <v>15.45</v>
      </c>
      <c r="J95" s="6" t="s">
        <v>268</v>
      </c>
      <c r="K95" s="6"/>
      <c r="N95" s="6"/>
      <c r="O95" s="332">
        <v>2018</v>
      </c>
      <c r="P95" s="332">
        <v>145.69999999999999</v>
      </c>
      <c r="Q95" s="6"/>
      <c r="R95" s="6"/>
      <c r="S95" s="6"/>
      <c r="T95" s="6"/>
      <c r="U95" s="6"/>
      <c r="V95" s="6"/>
      <c r="W95" s="6"/>
      <c r="X95" s="6"/>
      <c r="Y95" s="4"/>
      <c r="AF95" s="18">
        <v>2030</v>
      </c>
      <c r="AG95" s="18">
        <v>162.3766</v>
      </c>
      <c r="AH95" s="18">
        <v>160.58725000000001</v>
      </c>
      <c r="AI95" s="18">
        <v>64.582499999999996</v>
      </c>
    </row>
    <row r="96" spans="1:44" x14ac:dyDescent="0.25">
      <c r="A96" s="6"/>
      <c r="B96" s="6"/>
      <c r="C96" s="6"/>
      <c r="D96" s="6"/>
      <c r="E96" s="6"/>
      <c r="F96" s="6"/>
      <c r="G96" s="6"/>
      <c r="H96" s="332">
        <v>2018</v>
      </c>
      <c r="I96" s="332">
        <v>51.5</v>
      </c>
      <c r="J96" s="6" t="s">
        <v>268</v>
      </c>
      <c r="K96" s="6"/>
      <c r="N96" s="6"/>
      <c r="O96" s="332">
        <v>2030</v>
      </c>
      <c r="P96" s="332">
        <f>P95*0.3</f>
        <v>43.709999999999994</v>
      </c>
      <c r="Q96" s="6"/>
      <c r="R96" s="6"/>
      <c r="S96" s="6"/>
      <c r="T96" s="6"/>
      <c r="U96" s="6"/>
      <c r="V96" s="6"/>
      <c r="W96" s="6"/>
      <c r="X96" s="6"/>
      <c r="Y96" s="15"/>
    </row>
    <row r="97" spans="8:34" s="6" customFormat="1" x14ac:dyDescent="0.25">
      <c r="H97" s="304" t="s">
        <v>267</v>
      </c>
      <c r="I97" s="312">
        <f>I96-I95</f>
        <v>36.049999999999997</v>
      </c>
      <c r="J97" s="6" t="s">
        <v>268</v>
      </c>
      <c r="O97" s="304" t="s">
        <v>270</v>
      </c>
      <c r="P97" s="304">
        <f>(P95-P96)*0.75</f>
        <v>76.492499999999993</v>
      </c>
      <c r="Y97" s="203"/>
    </row>
    <row r="98" spans="8:34" x14ac:dyDescent="0.25">
      <c r="O98" s="367" t="s">
        <v>271</v>
      </c>
      <c r="P98" s="304">
        <f>(P95-P96)*0.25</f>
        <v>25.497499999999999</v>
      </c>
      <c r="AF98" s="18" t="s">
        <v>275</v>
      </c>
      <c r="AH98" s="18">
        <f>(AG94-AG95)+(AH94-AH95)+(AI94-AI95)</f>
        <v>103.45365</v>
      </c>
    </row>
    <row r="99" spans="8:34" x14ac:dyDescent="0.25">
      <c r="AF99" s="18" t="s">
        <v>276</v>
      </c>
      <c r="AH99" s="18">
        <f>AH98*1.3</f>
        <v>134.489745</v>
      </c>
    </row>
    <row r="100" spans="8:34" x14ac:dyDescent="0.25">
      <c r="L100" s="369"/>
      <c r="M100" s="369"/>
    </row>
    <row r="101" spans="8:34" x14ac:dyDescent="0.25">
      <c r="L101" s="421"/>
      <c r="M101" s="421"/>
    </row>
    <row r="102" spans="8:34" x14ac:dyDescent="0.25">
      <c r="L102" s="291"/>
      <c r="M102" s="289"/>
    </row>
    <row r="103" spans="8:34" x14ac:dyDescent="0.25">
      <c r="L103" s="291"/>
      <c r="M103" s="291"/>
    </row>
    <row r="104" spans="8:34" x14ac:dyDescent="0.25">
      <c r="L104" s="290"/>
      <c r="M104" s="287"/>
    </row>
    <row r="105" spans="8:34" x14ac:dyDescent="0.25">
      <c r="L105" s="369"/>
      <c r="M105" s="369"/>
    </row>
  </sheetData>
  <mergeCells count="33">
    <mergeCell ref="AF6:AG6"/>
    <mergeCell ref="AI6:AQ6"/>
    <mergeCell ref="D1:E1"/>
    <mergeCell ref="Y1:Y2"/>
    <mergeCell ref="A6:X6"/>
    <mergeCell ref="Z6:AC6"/>
    <mergeCell ref="AD6:AE6"/>
    <mergeCell ref="Y3:Y4"/>
    <mergeCell ref="B86:B88"/>
    <mergeCell ref="C86:C88"/>
    <mergeCell ref="D86:D88"/>
    <mergeCell ref="E86:E88"/>
    <mergeCell ref="F86:F88"/>
    <mergeCell ref="G86:G88"/>
    <mergeCell ref="H86:H88"/>
    <mergeCell ref="I86:I88"/>
    <mergeCell ref="J86:J88"/>
    <mergeCell ref="K86:K88"/>
    <mergeCell ref="O94:P94"/>
    <mergeCell ref="H94:I94"/>
    <mergeCell ref="L101:M101"/>
    <mergeCell ref="V86:V88"/>
    <mergeCell ref="W86:W88"/>
    <mergeCell ref="Q86:Q88"/>
    <mergeCell ref="R86:R88"/>
    <mergeCell ref="S86:S88"/>
    <mergeCell ref="T86:T88"/>
    <mergeCell ref="U86:U88"/>
    <mergeCell ref="L86:L88"/>
    <mergeCell ref="M86:M88"/>
    <mergeCell ref="N86:N88"/>
    <mergeCell ref="O86:O88"/>
    <mergeCell ref="P86:P88"/>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33"/>
    <pageSetUpPr fitToPage="1"/>
  </sheetPr>
  <dimension ref="A1:AV99"/>
  <sheetViews>
    <sheetView showGridLines="0" showZeros="0" topLeftCell="W16" zoomScale="70" zoomScaleNormal="70" workbookViewId="0">
      <selection activeCell="T94" sqref="T94"/>
    </sheetView>
  </sheetViews>
  <sheetFormatPr defaultColWidth="9.109375" defaultRowHeight="13.2" x14ac:dyDescent="0.25"/>
  <cols>
    <col min="1" max="23" width="7.109375" style="6" customWidth="1"/>
    <col min="24" max="24" width="8.6640625" style="6" customWidth="1"/>
    <col min="25" max="25" width="52.109375" style="6" bestFit="1" customWidth="1"/>
    <col min="26" max="29" width="5.6640625" style="6" customWidth="1"/>
    <col min="30" max="34" width="8.6640625" style="6" customWidth="1"/>
    <col min="35" max="43" width="7.109375" style="6" customWidth="1"/>
    <col min="44" max="16384" width="9.109375" style="6"/>
  </cols>
  <sheetData>
    <row r="1" spans="1:48" ht="15" customHeight="1" x14ac:dyDescent="0.25">
      <c r="A1" s="120" t="s">
        <v>48</v>
      </c>
      <c r="B1" s="3"/>
      <c r="C1" s="3"/>
      <c r="D1" s="430">
        <v>98265</v>
      </c>
      <c r="E1" s="431"/>
      <c r="F1" s="4"/>
      <c r="G1" s="4"/>
      <c r="H1" s="4"/>
      <c r="I1" s="4"/>
      <c r="K1" s="4"/>
      <c r="L1" s="4"/>
      <c r="M1" s="4"/>
      <c r="N1" s="4"/>
      <c r="O1" s="4"/>
      <c r="P1" s="4"/>
      <c r="Q1" s="4"/>
      <c r="R1" s="4"/>
      <c r="S1" s="4"/>
      <c r="T1" s="4"/>
      <c r="U1" s="4"/>
      <c r="V1" s="5"/>
      <c r="W1" s="5"/>
      <c r="X1" s="5"/>
      <c r="Y1" s="417" t="s">
        <v>73</v>
      </c>
      <c r="Z1" s="5"/>
      <c r="AA1" s="5"/>
      <c r="AB1" s="5"/>
      <c r="AC1" s="5"/>
      <c r="AD1" s="4"/>
      <c r="AE1" s="4"/>
      <c r="AF1" s="4"/>
      <c r="AG1" s="4"/>
      <c r="AH1" s="4"/>
      <c r="AI1" s="4"/>
      <c r="AJ1" s="4"/>
      <c r="AK1" s="4"/>
      <c r="AL1" s="4"/>
      <c r="AM1" s="4"/>
      <c r="AN1" s="4"/>
      <c r="AO1" s="4"/>
      <c r="AP1" s="4"/>
      <c r="AQ1" s="4"/>
    </row>
    <row r="2" spans="1:48" ht="15" customHeight="1" x14ac:dyDescent="0.3">
      <c r="A2" s="121" t="s">
        <v>50</v>
      </c>
      <c r="B2" s="4"/>
      <c r="C2" s="4"/>
      <c r="D2" s="122">
        <v>91.85</v>
      </c>
      <c r="E2" s="123" t="s">
        <v>49</v>
      </c>
      <c r="F2" s="4"/>
      <c r="G2" s="4"/>
      <c r="H2" s="124"/>
      <c r="I2" s="4"/>
      <c r="J2" s="4"/>
      <c r="K2" s="4"/>
      <c r="L2" s="4"/>
      <c r="M2" s="4"/>
      <c r="N2" s="4"/>
      <c r="O2" s="4"/>
      <c r="P2" s="4"/>
      <c r="Q2" s="4"/>
      <c r="R2" s="4"/>
      <c r="S2" s="4"/>
      <c r="T2" s="4"/>
      <c r="U2" s="4"/>
      <c r="V2" s="5"/>
      <c r="W2" s="5"/>
      <c r="X2" s="5"/>
      <c r="Y2" s="417"/>
      <c r="Z2" s="5"/>
      <c r="AA2" s="5"/>
      <c r="AB2" s="5"/>
      <c r="AC2" s="5"/>
      <c r="AD2" s="4"/>
      <c r="AE2" s="4"/>
      <c r="AF2" s="4"/>
      <c r="AG2" s="4"/>
      <c r="AH2" s="4"/>
      <c r="AI2" s="4"/>
      <c r="AJ2" s="4"/>
      <c r="AK2" s="4"/>
      <c r="AL2" s="4"/>
      <c r="AM2" s="4"/>
      <c r="AN2" s="4"/>
      <c r="AO2" s="4"/>
      <c r="AP2" s="4"/>
      <c r="AQ2" s="4"/>
    </row>
    <row r="3" spans="1:48" ht="15" customHeight="1" thickBot="1" x14ac:dyDescent="0.3">
      <c r="A3" s="125" t="s">
        <v>46</v>
      </c>
      <c r="B3" s="7"/>
      <c r="C3" s="7"/>
      <c r="D3" s="7" t="s">
        <v>47</v>
      </c>
      <c r="E3" s="8"/>
      <c r="F3" s="4"/>
      <c r="G3" s="4"/>
      <c r="H3" s="4"/>
      <c r="I3" s="4"/>
      <c r="J3" s="4"/>
      <c r="K3" s="4"/>
      <c r="L3" s="4"/>
      <c r="M3" s="4"/>
      <c r="N3" s="4"/>
      <c r="O3" s="4"/>
      <c r="P3" s="4"/>
      <c r="Q3" s="4"/>
      <c r="R3" s="4"/>
      <c r="S3" s="4"/>
      <c r="T3" s="4"/>
      <c r="U3" s="4"/>
      <c r="V3" s="5"/>
      <c r="W3" s="5"/>
      <c r="X3" s="432" t="s">
        <v>262</v>
      </c>
      <c r="Y3" s="432"/>
      <c r="Z3" s="432"/>
      <c r="AA3" s="5"/>
      <c r="AB3" s="5"/>
      <c r="AC3" s="5"/>
      <c r="AD3" s="4"/>
      <c r="AE3" s="4"/>
      <c r="AF3" s="4"/>
      <c r="AG3" s="4"/>
      <c r="AH3" s="4"/>
      <c r="AI3" s="4"/>
      <c r="AJ3" s="4"/>
      <c r="AK3" s="4"/>
      <c r="AL3" s="4"/>
      <c r="AM3" s="4"/>
      <c r="AN3" s="4"/>
      <c r="AO3" s="4"/>
      <c r="AP3" s="4"/>
      <c r="AQ3" s="4"/>
    </row>
    <row r="4" spans="1:48" ht="15" customHeight="1" x14ac:dyDescent="0.25">
      <c r="A4" s="4"/>
      <c r="B4" s="4"/>
      <c r="C4" s="4"/>
      <c r="D4" s="4"/>
      <c r="E4" s="4"/>
      <c r="F4" s="4"/>
      <c r="G4" s="4"/>
      <c r="H4" s="4"/>
      <c r="I4" s="4"/>
      <c r="J4" s="4"/>
      <c r="K4" s="4"/>
      <c r="L4" s="4"/>
      <c r="M4" s="4"/>
      <c r="N4" s="4"/>
      <c r="O4" s="4"/>
      <c r="P4" s="4"/>
      <c r="Q4" s="4"/>
      <c r="R4" s="4"/>
      <c r="S4" s="4"/>
      <c r="T4" s="4"/>
      <c r="U4" s="4"/>
      <c r="V4" s="5"/>
      <c r="W4" s="5"/>
      <c r="X4" s="432"/>
      <c r="Y4" s="432"/>
      <c r="Z4" s="432"/>
      <c r="AA4" s="5"/>
      <c r="AB4" s="5"/>
      <c r="AC4" s="5"/>
      <c r="AD4" s="4"/>
      <c r="AE4" s="4"/>
      <c r="AF4" s="4"/>
      <c r="AG4" s="4"/>
      <c r="AH4" s="4"/>
      <c r="AI4" s="4"/>
      <c r="AJ4" s="4"/>
      <c r="AK4" s="4"/>
      <c r="AL4" s="4"/>
      <c r="AM4" s="4"/>
      <c r="AN4" s="4"/>
      <c r="AO4" s="4"/>
      <c r="AP4" s="4"/>
      <c r="AQ4" s="4"/>
    </row>
    <row r="5" spans="1:48" ht="15" customHeight="1" x14ac:dyDescent="0.25">
      <c r="A5" s="4"/>
      <c r="B5" s="4"/>
      <c r="C5" s="4"/>
      <c r="D5" s="4"/>
      <c r="E5" s="4"/>
      <c r="F5" s="4"/>
      <c r="G5" s="4"/>
      <c r="H5" s="4"/>
      <c r="I5" s="4"/>
      <c r="J5" s="4"/>
      <c r="K5" s="4"/>
      <c r="L5" s="4"/>
      <c r="M5" s="4"/>
      <c r="N5" s="4"/>
      <c r="O5" s="4"/>
      <c r="P5" s="4"/>
      <c r="Q5" s="4"/>
      <c r="R5" s="4"/>
      <c r="S5" s="4"/>
      <c r="T5" s="4"/>
      <c r="U5" s="4"/>
      <c r="V5" s="4"/>
      <c r="W5" s="4"/>
      <c r="X5" s="4"/>
      <c r="Z5" s="4"/>
      <c r="AA5" s="4"/>
      <c r="AB5" s="4"/>
      <c r="AC5" s="4"/>
      <c r="AD5" s="4"/>
      <c r="AE5" s="4"/>
      <c r="AF5" s="4"/>
      <c r="AG5" s="4"/>
      <c r="AH5" s="4"/>
      <c r="AI5" s="4"/>
      <c r="AJ5" s="4"/>
      <c r="AK5" s="4"/>
      <c r="AL5" s="4"/>
      <c r="AM5" s="4"/>
      <c r="AN5" s="4"/>
      <c r="AO5" s="4"/>
      <c r="AP5" s="4"/>
      <c r="AQ5" s="4"/>
    </row>
    <row r="6" spans="1:48" ht="15" customHeight="1" x14ac:dyDescent="0.3">
      <c r="A6" s="429" t="s">
        <v>0</v>
      </c>
      <c r="B6" s="429"/>
      <c r="C6" s="429"/>
      <c r="D6" s="429"/>
      <c r="E6" s="429"/>
      <c r="F6" s="429"/>
      <c r="G6" s="429"/>
      <c r="H6" s="429"/>
      <c r="I6" s="429"/>
      <c r="J6" s="429"/>
      <c r="K6" s="429"/>
      <c r="L6" s="429"/>
      <c r="M6" s="429"/>
      <c r="N6" s="429"/>
      <c r="O6" s="429"/>
      <c r="P6" s="429"/>
      <c r="Q6" s="429"/>
      <c r="R6" s="429"/>
      <c r="S6" s="429"/>
      <c r="T6" s="429"/>
      <c r="U6" s="429"/>
      <c r="V6" s="429"/>
      <c r="W6" s="429"/>
      <c r="X6" s="429"/>
      <c r="Y6" s="333" t="s">
        <v>51</v>
      </c>
      <c r="Z6" s="429" t="s">
        <v>104</v>
      </c>
      <c r="AA6" s="429"/>
      <c r="AB6" s="429"/>
      <c r="AC6" s="429"/>
      <c r="AD6" s="429" t="s">
        <v>53</v>
      </c>
      <c r="AE6" s="429"/>
      <c r="AF6" s="429" t="s">
        <v>52</v>
      </c>
      <c r="AG6" s="429"/>
      <c r="AH6" s="126"/>
      <c r="AI6" s="429" t="s">
        <v>1</v>
      </c>
      <c r="AJ6" s="429"/>
      <c r="AK6" s="429"/>
      <c r="AL6" s="429"/>
      <c r="AM6" s="429"/>
      <c r="AN6" s="429"/>
      <c r="AO6" s="429"/>
      <c r="AP6" s="429"/>
      <c r="AQ6" s="429"/>
    </row>
    <row r="7" spans="1:48" s="9" customFormat="1" ht="159.9" customHeight="1" thickBot="1" x14ac:dyDescent="0.8">
      <c r="A7" s="127" t="s">
        <v>74</v>
      </c>
      <c r="B7" s="128" t="s">
        <v>75</v>
      </c>
      <c r="C7" s="128" t="s">
        <v>76</v>
      </c>
      <c r="D7" s="128" t="s">
        <v>77</v>
      </c>
      <c r="E7" s="128" t="s">
        <v>78</v>
      </c>
      <c r="F7" s="128" t="s">
        <v>79</v>
      </c>
      <c r="G7" s="128" t="s">
        <v>80</v>
      </c>
      <c r="H7" s="128" t="s">
        <v>81</v>
      </c>
      <c r="I7" s="128" t="s">
        <v>82</v>
      </c>
      <c r="J7" s="128" t="s">
        <v>83</v>
      </c>
      <c r="K7" s="128" t="s">
        <v>84</v>
      </c>
      <c r="L7" s="128" t="s">
        <v>85</v>
      </c>
      <c r="M7" s="128" t="s">
        <v>86</v>
      </c>
      <c r="N7" s="128" t="s">
        <v>87</v>
      </c>
      <c r="O7" s="128" t="s">
        <v>88</v>
      </c>
      <c r="P7" s="128" t="s">
        <v>89</v>
      </c>
      <c r="Q7" s="128" t="s">
        <v>90</v>
      </c>
      <c r="R7" s="128" t="s">
        <v>91</v>
      </c>
      <c r="S7" s="128" t="s">
        <v>92</v>
      </c>
      <c r="T7" s="128" t="s">
        <v>93</v>
      </c>
      <c r="U7" s="128" t="s">
        <v>94</v>
      </c>
      <c r="V7" s="128" t="s">
        <v>95</v>
      </c>
      <c r="W7" s="128" t="s">
        <v>96</v>
      </c>
      <c r="X7" s="129" t="s">
        <v>97</v>
      </c>
      <c r="Y7" s="130"/>
      <c r="Z7" s="131" t="s">
        <v>98</v>
      </c>
      <c r="AA7" s="128" t="s">
        <v>99</v>
      </c>
      <c r="AB7" s="128" t="s">
        <v>100</v>
      </c>
      <c r="AC7" s="129" t="s">
        <v>101</v>
      </c>
      <c r="AD7" s="127" t="s">
        <v>102</v>
      </c>
      <c r="AE7" s="129" t="s">
        <v>103</v>
      </c>
      <c r="AF7" s="127" t="s">
        <v>102</v>
      </c>
      <c r="AG7" s="129" t="s">
        <v>103</v>
      </c>
      <c r="AH7" s="132" t="s">
        <v>105</v>
      </c>
      <c r="AI7" s="133" t="s">
        <v>106</v>
      </c>
      <c r="AJ7" s="128" t="s">
        <v>107</v>
      </c>
      <c r="AK7" s="128" t="s">
        <v>108</v>
      </c>
      <c r="AL7" s="128" t="s">
        <v>109</v>
      </c>
      <c r="AM7" s="128" t="s">
        <v>110</v>
      </c>
      <c r="AN7" s="128" t="s">
        <v>111</v>
      </c>
      <c r="AO7" s="134" t="s">
        <v>112</v>
      </c>
      <c r="AP7" s="134" t="s">
        <v>113</v>
      </c>
      <c r="AQ7" s="129" t="s">
        <v>114</v>
      </c>
    </row>
    <row r="8" spans="1:48" ht="15" customHeight="1" x14ac:dyDescent="0.25">
      <c r="A8" s="135"/>
      <c r="B8" s="136"/>
      <c r="C8" s="136"/>
      <c r="D8" s="136"/>
      <c r="E8" s="136"/>
      <c r="F8" s="136"/>
      <c r="G8" s="136"/>
      <c r="H8" s="136"/>
      <c r="I8" s="136"/>
      <c r="J8" s="136"/>
      <c r="K8" s="136"/>
      <c r="L8" s="136"/>
      <c r="M8" s="136"/>
      <c r="N8" s="136"/>
      <c r="O8" s="136"/>
      <c r="P8" s="136"/>
      <c r="Q8" s="136"/>
      <c r="R8" s="136"/>
      <c r="S8" s="136"/>
      <c r="T8" s="136"/>
      <c r="U8" s="136"/>
      <c r="V8" s="136"/>
      <c r="W8" s="136"/>
      <c r="X8" s="137">
        <f t="shared" ref="X8:X80" si="0">SUM(A8:W8)</f>
        <v>0</v>
      </c>
      <c r="Y8" s="138" t="s">
        <v>3</v>
      </c>
      <c r="Z8" s="135"/>
      <c r="AA8" s="136">
        <v>44</v>
      </c>
      <c r="AB8" s="136"/>
      <c r="AC8" s="137"/>
      <c r="AD8" s="135">
        <f t="shared" ref="AD8:AD13" si="1">-AE8/$D$2%</f>
        <v>-100.21279754540507</v>
      </c>
      <c r="AE8" s="139">
        <f>AH8/AA8%</f>
        <v>92.045454545454547</v>
      </c>
      <c r="AF8" s="140"/>
      <c r="AG8" s="139"/>
      <c r="AH8" s="141">
        <f t="shared" ref="AH8:AH14" si="2">SUM(AI8:AQ8)</f>
        <v>40.5</v>
      </c>
      <c r="AI8" s="110">
        <v>40.5</v>
      </c>
      <c r="AJ8" s="142"/>
      <c r="AK8" s="142"/>
      <c r="AL8" s="142"/>
      <c r="AM8" s="142"/>
      <c r="AN8" s="142"/>
      <c r="AO8" s="142"/>
      <c r="AP8" s="142"/>
      <c r="AQ8" s="143"/>
    </row>
    <row r="9" spans="1:48" ht="15" customHeight="1" x14ac:dyDescent="0.25">
      <c r="A9" s="135"/>
      <c r="B9" s="136"/>
      <c r="C9" s="136"/>
      <c r="D9" s="136"/>
      <c r="E9" s="136"/>
      <c r="F9" s="136"/>
      <c r="G9" s="136"/>
      <c r="H9" s="136"/>
      <c r="I9" s="136"/>
      <c r="J9" s="136"/>
      <c r="K9" s="136"/>
      <c r="L9" s="136"/>
      <c r="M9" s="136"/>
      <c r="N9" s="136"/>
      <c r="O9" s="136"/>
      <c r="P9" s="136"/>
      <c r="Q9" s="136"/>
      <c r="R9" s="136"/>
      <c r="S9" s="136"/>
      <c r="T9" s="136"/>
      <c r="U9" s="136"/>
      <c r="V9" s="136"/>
      <c r="W9" s="136"/>
      <c r="X9" s="137">
        <f t="shared" si="0"/>
        <v>0</v>
      </c>
      <c r="Y9" s="138" t="s">
        <v>4</v>
      </c>
      <c r="Z9" s="135"/>
      <c r="AA9" s="136"/>
      <c r="AB9" s="136">
        <v>90</v>
      </c>
      <c r="AC9" s="137"/>
      <c r="AD9" s="135">
        <f t="shared" si="1"/>
        <v>-7.5001512127260632</v>
      </c>
      <c r="AE9" s="139">
        <f>AH9/AB9%</f>
        <v>6.8888888888888893</v>
      </c>
      <c r="AF9" s="140"/>
      <c r="AG9" s="139"/>
      <c r="AH9" s="141">
        <f t="shared" si="2"/>
        <v>6.2</v>
      </c>
      <c r="AI9" s="111">
        <v>6.2</v>
      </c>
      <c r="AJ9" s="142"/>
      <c r="AK9" s="142"/>
      <c r="AL9" s="142"/>
      <c r="AM9" s="142"/>
      <c r="AN9" s="142"/>
      <c r="AO9" s="142"/>
      <c r="AP9" s="142"/>
      <c r="AQ9" s="143"/>
    </row>
    <row r="10" spans="1:48" ht="15" customHeight="1" x14ac:dyDescent="0.25">
      <c r="A10" s="135"/>
      <c r="B10" s="136"/>
      <c r="C10" s="136"/>
      <c r="D10" s="136"/>
      <c r="E10" s="136"/>
      <c r="F10" s="136"/>
      <c r="G10" s="136"/>
      <c r="H10" s="136"/>
      <c r="I10" s="136"/>
      <c r="J10" s="136"/>
      <c r="K10" s="136"/>
      <c r="L10" s="136"/>
      <c r="M10" s="136"/>
      <c r="N10" s="136"/>
      <c r="O10" s="136"/>
      <c r="P10" s="136"/>
      <c r="Q10" s="136"/>
      <c r="R10" s="136"/>
      <c r="S10" s="136"/>
      <c r="T10" s="136"/>
      <c r="U10" s="136"/>
      <c r="V10" s="136"/>
      <c r="W10" s="136"/>
      <c r="X10" s="137">
        <f t="shared" si="0"/>
        <v>0</v>
      </c>
      <c r="Y10" s="138" t="s">
        <v>5</v>
      </c>
      <c r="Z10" s="135"/>
      <c r="AA10" s="136"/>
      <c r="AB10" s="136">
        <v>100</v>
      </c>
      <c r="AC10" s="137"/>
      <c r="AD10" s="135">
        <f t="shared" si="1"/>
        <v>-32.00870985302123</v>
      </c>
      <c r="AE10" s="139">
        <f>AH10/AB10%</f>
        <v>29.4</v>
      </c>
      <c r="AF10" s="140"/>
      <c r="AG10" s="139"/>
      <c r="AH10" s="141">
        <f t="shared" si="2"/>
        <v>29.4</v>
      </c>
      <c r="AI10" s="111">
        <v>29.4</v>
      </c>
      <c r="AJ10" s="142"/>
      <c r="AK10" s="142"/>
      <c r="AL10" s="142"/>
      <c r="AM10" s="142"/>
      <c r="AN10" s="142"/>
      <c r="AO10" s="142"/>
      <c r="AP10" s="142"/>
      <c r="AQ10" s="143"/>
    </row>
    <row r="11" spans="1:48" ht="15" customHeight="1" x14ac:dyDescent="0.25">
      <c r="A11" s="135"/>
      <c r="B11" s="136"/>
      <c r="C11" s="136"/>
      <c r="D11" s="136"/>
      <c r="E11" s="136"/>
      <c r="F11" s="136"/>
      <c r="G11" s="136"/>
      <c r="H11" s="136"/>
      <c r="I11" s="136"/>
      <c r="J11" s="136"/>
      <c r="K11" s="136"/>
      <c r="L11" s="136"/>
      <c r="M11" s="136"/>
      <c r="N11" s="136"/>
      <c r="O11" s="136"/>
      <c r="P11" s="136"/>
      <c r="Q11" s="136"/>
      <c r="R11" s="136"/>
      <c r="S11" s="136"/>
      <c r="T11" s="136"/>
      <c r="U11" s="136"/>
      <c r="V11" s="136"/>
      <c r="W11" s="136"/>
      <c r="X11" s="137">
        <f t="shared" si="0"/>
        <v>0</v>
      </c>
      <c r="Y11" s="138" t="s">
        <v>18</v>
      </c>
      <c r="Z11" s="135"/>
      <c r="AA11" s="136">
        <v>50</v>
      </c>
      <c r="AB11" s="136"/>
      <c r="AC11" s="137"/>
      <c r="AD11" s="135">
        <f t="shared" si="1"/>
        <v>-259.23549706368334</v>
      </c>
      <c r="AE11" s="139">
        <f>AH11/AA11%</f>
        <v>238.10780405299315</v>
      </c>
      <c r="AF11" s="140"/>
      <c r="AG11" s="139"/>
      <c r="AH11" s="141">
        <f t="shared" si="2"/>
        <v>119.05390202649657</v>
      </c>
      <c r="AI11" s="111">
        <v>46.010289091700542</v>
      </c>
      <c r="AJ11" s="110">
        <v>22.718153257843227</v>
      </c>
      <c r="AK11" s="110">
        <v>13.335913320128627</v>
      </c>
      <c r="AL11" s="110">
        <v>19.417644533969696</v>
      </c>
      <c r="AM11" s="110">
        <v>0.43494709198286113</v>
      </c>
      <c r="AN11" s="110">
        <v>10.511732351298905</v>
      </c>
      <c r="AO11" s="110">
        <v>9.4099299204511919E-2</v>
      </c>
      <c r="AP11" s="110">
        <v>6.5311230803682063</v>
      </c>
      <c r="AQ11" s="143"/>
    </row>
    <row r="12" spans="1:48" ht="15" customHeight="1" x14ac:dyDescent="0.25">
      <c r="A12" s="348"/>
      <c r="B12" s="341"/>
      <c r="C12" s="341"/>
      <c r="D12" s="341"/>
      <c r="E12" s="341"/>
      <c r="F12" s="341"/>
      <c r="G12" s="341"/>
      <c r="H12" s="341"/>
      <c r="I12" s="341"/>
      <c r="J12" s="341"/>
      <c r="K12" s="341"/>
      <c r="L12" s="341"/>
      <c r="M12" s="341"/>
      <c r="N12" s="341"/>
      <c r="O12" s="341"/>
      <c r="P12" s="341"/>
      <c r="Q12" s="341"/>
      <c r="R12" s="341"/>
      <c r="S12" s="341"/>
      <c r="T12" s="341"/>
      <c r="U12" s="341"/>
      <c r="V12" s="341"/>
      <c r="W12" s="136"/>
      <c r="X12" s="137">
        <f t="shared" si="0"/>
        <v>0</v>
      </c>
      <c r="Y12" s="138" t="s">
        <v>19</v>
      </c>
      <c r="Z12" s="135"/>
      <c r="AA12" s="136">
        <v>150</v>
      </c>
      <c r="AB12" s="136"/>
      <c r="AC12" s="137"/>
      <c r="AD12" s="135">
        <f t="shared" si="1"/>
        <v>-232.82836592102817</v>
      </c>
      <c r="AE12" s="139">
        <f>AH12/AA12%</f>
        <v>213.85285409846438</v>
      </c>
      <c r="AF12" s="140"/>
      <c r="AG12" s="139"/>
      <c r="AH12" s="141">
        <f t="shared" si="2"/>
        <v>320.77928114769657</v>
      </c>
      <c r="AI12" s="111">
        <v>162.9654755570555</v>
      </c>
      <c r="AJ12" s="110"/>
      <c r="AK12" s="110">
        <v>44.808668755632191</v>
      </c>
      <c r="AL12" s="110">
        <v>65.243285634138189</v>
      </c>
      <c r="AM12" s="110">
        <v>1.7397883679314448</v>
      </c>
      <c r="AN12" s="110">
        <v>42.04692940519562</v>
      </c>
      <c r="AO12" s="110">
        <v>5.6459579522707144E-2</v>
      </c>
      <c r="AP12" s="110">
        <v>3.9186738482209234</v>
      </c>
      <c r="AQ12" s="143"/>
    </row>
    <row r="13" spans="1:48" ht="15" customHeight="1" x14ac:dyDescent="0.25">
      <c r="A13" s="348"/>
      <c r="B13" s="341"/>
      <c r="C13" s="341"/>
      <c r="D13" s="341"/>
      <c r="E13" s="341"/>
      <c r="F13" s="341"/>
      <c r="G13" s="341"/>
      <c r="H13" s="341"/>
      <c r="I13" s="341"/>
      <c r="J13" s="341"/>
      <c r="K13" s="341"/>
      <c r="L13" s="341"/>
      <c r="M13" s="341"/>
      <c r="N13" s="341"/>
      <c r="O13" s="341"/>
      <c r="P13" s="341"/>
      <c r="Q13" s="341"/>
      <c r="R13" s="341"/>
      <c r="S13" s="341"/>
      <c r="T13" s="341"/>
      <c r="U13" s="341"/>
      <c r="V13" s="341"/>
      <c r="W13" s="136"/>
      <c r="X13" s="137">
        <f t="shared" si="0"/>
        <v>0</v>
      </c>
      <c r="Y13" s="138" t="s">
        <v>71</v>
      </c>
      <c r="Z13" s="135"/>
      <c r="AA13" s="136">
        <v>85</v>
      </c>
      <c r="AB13" s="136"/>
      <c r="AC13" s="137"/>
      <c r="AD13" s="135">
        <f t="shared" si="1"/>
        <v>-1017.3250697350237</v>
      </c>
      <c r="AE13" s="139">
        <f>AH13/AA13%</f>
        <v>934.41307655161927</v>
      </c>
      <c r="AF13" s="140"/>
      <c r="AG13" s="139"/>
      <c r="AH13" s="141">
        <f t="shared" si="2"/>
        <v>794.2511150688764</v>
      </c>
      <c r="AI13" s="111">
        <v>255.84689140733357</v>
      </c>
      <c r="AJ13" s="110">
        <v>104.41936367771646</v>
      </c>
      <c r="AK13" s="110">
        <v>42.621578971131093</v>
      </c>
      <c r="AL13" s="110">
        <v>62.058791930567139</v>
      </c>
      <c r="AM13" s="110">
        <v>10.598210807982381</v>
      </c>
      <c r="AN13" s="110">
        <v>256.13587829331669</v>
      </c>
      <c r="AO13" s="110">
        <v>0.87449615394059732</v>
      </c>
      <c r="AP13" s="110">
        <v>60.695903826888525</v>
      </c>
      <c r="AQ13" s="382">
        <f>1</f>
        <v>1</v>
      </c>
    </row>
    <row r="14" spans="1:48" ht="15" customHeight="1" x14ac:dyDescent="0.25">
      <c r="A14" s="348"/>
      <c r="B14" s="341"/>
      <c r="C14" s="341"/>
      <c r="D14" s="341"/>
      <c r="E14" s="341"/>
      <c r="F14" s="341"/>
      <c r="G14" s="341"/>
      <c r="H14" s="341"/>
      <c r="I14" s="341"/>
      <c r="J14" s="341"/>
      <c r="K14" s="341"/>
      <c r="L14" s="341"/>
      <c r="M14" s="341"/>
      <c r="N14" s="379">
        <f>AH14-AE14</f>
        <v>18</v>
      </c>
      <c r="O14" s="341"/>
      <c r="P14" s="341"/>
      <c r="Q14" s="341"/>
      <c r="R14" s="341"/>
      <c r="S14" s="341"/>
      <c r="T14" s="341"/>
      <c r="U14" s="341"/>
      <c r="V14" s="341"/>
      <c r="W14" s="136"/>
      <c r="X14" s="137">
        <f t="shared" si="0"/>
        <v>18</v>
      </c>
      <c r="Y14" s="138" t="s">
        <v>54</v>
      </c>
      <c r="Z14" s="135"/>
      <c r="AA14" s="136"/>
      <c r="AB14" s="136">
        <v>300</v>
      </c>
      <c r="AC14" s="137"/>
      <c r="AD14" s="135">
        <f>-AE14/$D$2%</f>
        <v>-9.7985846488840505</v>
      </c>
      <c r="AE14" s="112">
        <v>9</v>
      </c>
      <c r="AF14" s="140"/>
      <c r="AG14" s="139"/>
      <c r="AH14" s="141">
        <f t="shared" si="2"/>
        <v>27</v>
      </c>
      <c r="AI14" s="145">
        <f>AE14*AB14/100</f>
        <v>27</v>
      </c>
      <c r="AJ14" s="144"/>
      <c r="AK14" s="144"/>
      <c r="AL14" s="144"/>
      <c r="AM14" s="144"/>
      <c r="AN14" s="144"/>
      <c r="AO14" s="144"/>
      <c r="AP14" s="144"/>
      <c r="AQ14" s="139"/>
      <c r="AV14" s="11"/>
    </row>
    <row r="15" spans="1:48" ht="15" customHeight="1" x14ac:dyDescent="0.25">
      <c r="A15" s="381">
        <f>Z15%*AD15</f>
        <v>-130.94872402022855</v>
      </c>
      <c r="B15" s="341"/>
      <c r="C15" s="341"/>
      <c r="D15" s="341"/>
      <c r="E15" s="341"/>
      <c r="F15" s="341"/>
      <c r="G15" s="341"/>
      <c r="H15" s="341"/>
      <c r="I15" s="341"/>
      <c r="J15" s="341"/>
      <c r="K15" s="341"/>
      <c r="L15" s="341"/>
      <c r="M15" s="341"/>
      <c r="N15" s="341"/>
      <c r="O15" s="341"/>
      <c r="P15" s="341"/>
      <c r="Q15" s="341"/>
      <c r="R15" s="341"/>
      <c r="S15" s="341"/>
      <c r="T15" s="341"/>
      <c r="U15" s="341"/>
      <c r="V15" s="341"/>
      <c r="W15" s="136"/>
      <c r="X15" s="137">
        <f t="shared" si="0"/>
        <v>-130.94872402022855</v>
      </c>
      <c r="Y15" s="138" t="s">
        <v>34</v>
      </c>
      <c r="Z15" s="135">
        <v>100</v>
      </c>
      <c r="AA15" s="136"/>
      <c r="AB15" s="136"/>
      <c r="AC15" s="137"/>
      <c r="AD15" s="135">
        <f>-SUM(AD16:AD80,AD8:AD14)</f>
        <v>-130.94872402022855</v>
      </c>
      <c r="AE15" s="139"/>
      <c r="AF15" s="140"/>
      <c r="AG15" s="139"/>
      <c r="AH15" s="141">
        <f t="shared" ref="AH15:AH52" si="3">SUM(AI15:AQ15)</f>
        <v>0</v>
      </c>
      <c r="AI15" s="140"/>
      <c r="AJ15" s="144"/>
      <c r="AK15" s="144"/>
      <c r="AL15" s="144"/>
      <c r="AM15" s="144"/>
      <c r="AN15" s="144"/>
      <c r="AO15" s="144"/>
      <c r="AP15" s="144"/>
      <c r="AQ15" s="139"/>
      <c r="AV15" s="11"/>
    </row>
    <row r="16" spans="1:48" ht="15" customHeight="1" x14ac:dyDescent="0.25">
      <c r="A16" s="214"/>
      <c r="B16" s="379">
        <v>43</v>
      </c>
      <c r="C16" s="343"/>
      <c r="D16" s="343"/>
      <c r="E16" s="343"/>
      <c r="F16" s="343"/>
      <c r="G16" s="343"/>
      <c r="H16" s="343"/>
      <c r="I16" s="343"/>
      <c r="J16" s="343"/>
      <c r="K16" s="343"/>
      <c r="L16" s="343"/>
      <c r="M16" s="343"/>
      <c r="N16" s="343"/>
      <c r="O16" s="343"/>
      <c r="P16" s="343"/>
      <c r="Q16" s="343"/>
      <c r="R16" s="343"/>
      <c r="S16" s="343"/>
      <c r="T16" s="343"/>
      <c r="U16" s="343"/>
      <c r="V16" s="343"/>
      <c r="W16" s="147"/>
      <c r="X16" s="137">
        <f t="shared" si="0"/>
        <v>43</v>
      </c>
      <c r="Y16" s="149" t="s">
        <v>72</v>
      </c>
      <c r="Z16" s="150"/>
      <c r="AA16" s="147"/>
      <c r="AB16" s="148">
        <v>38</v>
      </c>
      <c r="AC16" s="151"/>
      <c r="AD16" s="150"/>
      <c r="AE16" s="151"/>
      <c r="AF16" s="150"/>
      <c r="AG16" s="151"/>
      <c r="AH16" s="108">
        <f t="shared" si="3"/>
        <v>16.34</v>
      </c>
      <c r="AI16" s="152">
        <f>X16*AB16/100*0.2</f>
        <v>3.2680000000000002</v>
      </c>
      <c r="AJ16" s="276"/>
      <c r="AK16" s="276"/>
      <c r="AL16" s="276"/>
      <c r="AM16" s="276"/>
      <c r="AN16" s="276">
        <f>X16*AB16/100*0.6</f>
        <v>9.8040000000000003</v>
      </c>
      <c r="AO16" s="276"/>
      <c r="AP16" s="276"/>
      <c r="AQ16" s="277">
        <f>X16*AB16/100*0.2</f>
        <v>3.2680000000000002</v>
      </c>
      <c r="AV16" s="11"/>
    </row>
    <row r="17" spans="1:48" ht="15" customHeight="1" x14ac:dyDescent="0.25">
      <c r="A17" s="348"/>
      <c r="B17" s="341"/>
      <c r="C17" s="341"/>
      <c r="D17" s="341"/>
      <c r="E17" s="379">
        <v>145.69999999999999</v>
      </c>
      <c r="F17" s="341"/>
      <c r="G17" s="341"/>
      <c r="H17" s="341"/>
      <c r="I17" s="341"/>
      <c r="J17" s="341"/>
      <c r="K17" s="341"/>
      <c r="L17" s="341"/>
      <c r="M17" s="341"/>
      <c r="N17" s="341"/>
      <c r="O17" s="341"/>
      <c r="P17" s="341"/>
      <c r="Q17" s="341"/>
      <c r="R17" s="341"/>
      <c r="S17" s="341"/>
      <c r="T17" s="341"/>
      <c r="U17" s="341"/>
      <c r="V17" s="341"/>
      <c r="W17" s="144"/>
      <c r="X17" s="137">
        <f t="shared" si="0"/>
        <v>145.69999999999999</v>
      </c>
      <c r="Y17" s="138" t="s">
        <v>55</v>
      </c>
      <c r="Z17" s="135"/>
      <c r="AA17" s="136"/>
      <c r="AB17" s="144">
        <v>80</v>
      </c>
      <c r="AC17" s="137"/>
      <c r="AD17" s="135"/>
      <c r="AE17" s="137"/>
      <c r="AF17" s="135"/>
      <c r="AG17" s="137"/>
      <c r="AH17" s="108">
        <f t="shared" si="3"/>
        <v>116.56</v>
      </c>
      <c r="AI17" s="153">
        <f t="shared" ref="AI17:AI22" si="4">X17*AB17/100</f>
        <v>116.56</v>
      </c>
      <c r="AJ17" s="136"/>
      <c r="AK17" s="136"/>
      <c r="AL17" s="136"/>
      <c r="AM17" s="136"/>
      <c r="AN17" s="136"/>
      <c r="AO17" s="136"/>
      <c r="AP17" s="136"/>
      <c r="AQ17" s="137"/>
      <c r="AS17" s="11"/>
    </row>
    <row r="18" spans="1:48" ht="15" customHeight="1" x14ac:dyDescent="0.25">
      <c r="A18" s="348"/>
      <c r="B18" s="341"/>
      <c r="C18" s="341"/>
      <c r="D18" s="341"/>
      <c r="E18" s="341"/>
      <c r="F18" s="341"/>
      <c r="G18" s="341"/>
      <c r="H18" s="341"/>
      <c r="I18" s="379">
        <v>357.5</v>
      </c>
      <c r="J18" s="341"/>
      <c r="K18" s="341"/>
      <c r="L18" s="341"/>
      <c r="M18" s="341"/>
      <c r="N18" s="341"/>
      <c r="O18" s="341"/>
      <c r="P18" s="341"/>
      <c r="Q18" s="341"/>
      <c r="R18" s="341"/>
      <c r="S18" s="341"/>
      <c r="T18" s="341"/>
      <c r="U18" s="341"/>
      <c r="V18" s="341"/>
      <c r="W18" s="144"/>
      <c r="X18" s="137">
        <f t="shared" si="0"/>
        <v>357.5</v>
      </c>
      <c r="Y18" s="138" t="s">
        <v>56</v>
      </c>
      <c r="Z18" s="135"/>
      <c r="AA18" s="136"/>
      <c r="AB18" s="144">
        <v>85</v>
      </c>
      <c r="AC18" s="137"/>
      <c r="AD18" s="135"/>
      <c r="AE18" s="137"/>
      <c r="AF18" s="135"/>
      <c r="AG18" s="137"/>
      <c r="AH18" s="108">
        <f t="shared" si="3"/>
        <v>303.875</v>
      </c>
      <c r="AI18" s="153">
        <f t="shared" si="4"/>
        <v>303.875</v>
      </c>
      <c r="AJ18" s="136"/>
      <c r="AK18" s="136"/>
      <c r="AL18" s="136"/>
      <c r="AM18" s="136"/>
      <c r="AN18" s="136"/>
      <c r="AO18" s="136"/>
      <c r="AP18" s="136"/>
      <c r="AQ18" s="137"/>
      <c r="AS18" s="11"/>
    </row>
    <row r="19" spans="1:48" ht="15" customHeight="1" x14ac:dyDescent="0.25">
      <c r="A19" s="348"/>
      <c r="B19" s="341"/>
      <c r="C19" s="341"/>
      <c r="D19" s="341"/>
      <c r="E19" s="341"/>
      <c r="F19" s="341"/>
      <c r="G19" s="341"/>
      <c r="H19" s="341"/>
      <c r="I19" s="213"/>
      <c r="J19" s="341"/>
      <c r="K19" s="341"/>
      <c r="L19" s="341"/>
      <c r="M19" s="341"/>
      <c r="N19" s="341"/>
      <c r="O19" s="341"/>
      <c r="P19" s="341"/>
      <c r="Q19" s="213"/>
      <c r="R19" s="213"/>
      <c r="S19" s="379">
        <v>393</v>
      </c>
      <c r="T19" s="341"/>
      <c r="U19" s="341"/>
      <c r="V19" s="341"/>
      <c r="W19" s="144"/>
      <c r="X19" s="137">
        <f t="shared" si="0"/>
        <v>393</v>
      </c>
      <c r="Y19" s="138" t="s">
        <v>57</v>
      </c>
      <c r="Z19" s="135"/>
      <c r="AA19" s="136"/>
      <c r="AB19" s="144">
        <v>75</v>
      </c>
      <c r="AC19" s="137"/>
      <c r="AD19" s="135"/>
      <c r="AE19" s="137"/>
      <c r="AF19" s="135"/>
      <c r="AG19" s="137"/>
      <c r="AH19" s="108">
        <f t="shared" si="3"/>
        <v>294.75</v>
      </c>
      <c r="AI19" s="153">
        <f t="shared" si="4"/>
        <v>294.75</v>
      </c>
      <c r="AJ19" s="136"/>
      <c r="AK19" s="136"/>
      <c r="AL19" s="136"/>
      <c r="AM19" s="136"/>
      <c r="AN19" s="136"/>
      <c r="AO19" s="136"/>
      <c r="AP19" s="136"/>
      <c r="AQ19" s="137"/>
      <c r="AV19" s="11"/>
    </row>
    <row r="20" spans="1:48" ht="15" customHeight="1" x14ac:dyDescent="0.25">
      <c r="A20" s="348"/>
      <c r="B20" s="341"/>
      <c r="C20" s="341"/>
      <c r="D20" s="341"/>
      <c r="E20" s="341"/>
      <c r="F20" s="341"/>
      <c r="G20" s="341"/>
      <c r="H20" s="341"/>
      <c r="I20" s="213"/>
      <c r="J20" s="341"/>
      <c r="K20" s="341"/>
      <c r="L20" s="341"/>
      <c r="M20" s="341"/>
      <c r="N20" s="341"/>
      <c r="O20" s="341"/>
      <c r="P20" s="341"/>
      <c r="Q20" s="213"/>
      <c r="R20" s="379">
        <v>362</v>
      </c>
      <c r="S20" s="213"/>
      <c r="T20" s="341"/>
      <c r="U20" s="341"/>
      <c r="V20" s="341"/>
      <c r="W20" s="144"/>
      <c r="X20" s="137">
        <f t="shared" si="0"/>
        <v>362</v>
      </c>
      <c r="Y20" s="138" t="s">
        <v>58</v>
      </c>
      <c r="Z20" s="135"/>
      <c r="AA20" s="136"/>
      <c r="AB20" s="144">
        <v>65</v>
      </c>
      <c r="AC20" s="137"/>
      <c r="AD20" s="135"/>
      <c r="AE20" s="137"/>
      <c r="AF20" s="135"/>
      <c r="AG20" s="137"/>
      <c r="AH20" s="108">
        <f t="shared" si="3"/>
        <v>235.3</v>
      </c>
      <c r="AI20" s="153">
        <f t="shared" si="4"/>
        <v>235.3</v>
      </c>
      <c r="AJ20" s="136"/>
      <c r="AK20" s="136"/>
      <c r="AL20" s="136"/>
      <c r="AM20" s="136"/>
      <c r="AN20" s="136"/>
      <c r="AO20" s="136"/>
      <c r="AP20" s="136"/>
      <c r="AQ20" s="137"/>
      <c r="AS20" s="11"/>
    </row>
    <row r="21" spans="1:48" ht="15" customHeight="1" x14ac:dyDescent="0.25">
      <c r="A21" s="348"/>
      <c r="B21" s="341"/>
      <c r="C21" s="341"/>
      <c r="D21" s="341"/>
      <c r="E21" s="341"/>
      <c r="F21" s="341"/>
      <c r="G21" s="341"/>
      <c r="H21" s="341"/>
      <c r="I21" s="213"/>
      <c r="J21" s="341"/>
      <c r="K21" s="341"/>
      <c r="L21" s="341"/>
      <c r="M21" s="341"/>
      <c r="N21" s="341"/>
      <c r="O21" s="341"/>
      <c r="P21" s="341"/>
      <c r="Q21" s="379">
        <v>88.7</v>
      </c>
      <c r="R21" s="213"/>
      <c r="S21" s="213"/>
      <c r="T21" s="341"/>
      <c r="U21" s="341"/>
      <c r="V21" s="341"/>
      <c r="W21" s="144"/>
      <c r="X21" s="137">
        <f t="shared" si="0"/>
        <v>88.7</v>
      </c>
      <c r="Y21" s="138" t="s">
        <v>59</v>
      </c>
      <c r="Z21" s="135"/>
      <c r="AA21" s="136"/>
      <c r="AB21" s="144">
        <v>65</v>
      </c>
      <c r="AC21" s="137"/>
      <c r="AD21" s="135"/>
      <c r="AE21" s="137"/>
      <c r="AF21" s="135"/>
      <c r="AG21" s="137"/>
      <c r="AH21" s="108">
        <f t="shared" si="3"/>
        <v>57.655000000000001</v>
      </c>
      <c r="AI21" s="153">
        <f t="shared" si="4"/>
        <v>57.655000000000001</v>
      </c>
      <c r="AJ21" s="136"/>
      <c r="AK21" s="136"/>
      <c r="AL21" s="136"/>
      <c r="AM21" s="136"/>
      <c r="AN21" s="136"/>
      <c r="AO21" s="136"/>
      <c r="AP21" s="136"/>
      <c r="AQ21" s="137"/>
      <c r="AS21" s="11"/>
    </row>
    <row r="22" spans="1:48" ht="15" customHeight="1" x14ac:dyDescent="0.25">
      <c r="A22" s="348"/>
      <c r="B22" s="341"/>
      <c r="C22" s="341"/>
      <c r="D22" s="341"/>
      <c r="E22" s="341"/>
      <c r="F22" s="341"/>
      <c r="G22" s="341"/>
      <c r="H22" s="341"/>
      <c r="I22" s="213"/>
      <c r="J22" s="341"/>
      <c r="K22" s="341"/>
      <c r="L22" s="379">
        <v>9.3000000000000007</v>
      </c>
      <c r="M22" s="341"/>
      <c r="N22" s="341"/>
      <c r="O22" s="341"/>
      <c r="P22" s="341"/>
      <c r="Q22" s="341"/>
      <c r="R22" s="341"/>
      <c r="S22" s="341"/>
      <c r="T22" s="341"/>
      <c r="U22" s="341"/>
      <c r="V22" s="341"/>
      <c r="W22" s="144"/>
      <c r="X22" s="137">
        <f t="shared" si="0"/>
        <v>9.3000000000000007</v>
      </c>
      <c r="Y22" s="138" t="s">
        <v>6</v>
      </c>
      <c r="Z22" s="135"/>
      <c r="AA22" s="136"/>
      <c r="AB22" s="136">
        <v>100</v>
      </c>
      <c r="AC22" s="137"/>
      <c r="AD22" s="135"/>
      <c r="AE22" s="137"/>
      <c r="AF22" s="135"/>
      <c r="AG22" s="137"/>
      <c r="AH22" s="108">
        <f t="shared" si="3"/>
        <v>9.3000000000000007</v>
      </c>
      <c r="AI22" s="153">
        <f t="shared" si="4"/>
        <v>9.3000000000000007</v>
      </c>
      <c r="AJ22" s="136"/>
      <c r="AK22" s="136"/>
      <c r="AL22" s="136"/>
      <c r="AM22" s="136"/>
      <c r="AN22" s="136"/>
      <c r="AO22" s="136"/>
      <c r="AP22" s="136"/>
      <c r="AQ22" s="137"/>
      <c r="AV22" s="11"/>
    </row>
    <row r="23" spans="1:48" ht="15" customHeight="1" x14ac:dyDescent="0.25">
      <c r="A23" s="348"/>
      <c r="B23" s="341"/>
      <c r="C23" s="341"/>
      <c r="D23" s="341"/>
      <c r="E23" s="379">
        <v>20.399999999999999</v>
      </c>
      <c r="F23" s="341"/>
      <c r="G23" s="341"/>
      <c r="H23" s="341"/>
      <c r="I23" s="213"/>
      <c r="J23" s="341"/>
      <c r="K23" s="341"/>
      <c r="L23" s="341"/>
      <c r="M23" s="341"/>
      <c r="N23" s="341"/>
      <c r="O23" s="341"/>
      <c r="P23" s="341"/>
      <c r="Q23" s="341"/>
      <c r="R23" s="341"/>
      <c r="S23" s="341"/>
      <c r="T23" s="341"/>
      <c r="U23" s="341"/>
      <c r="V23" s="341"/>
      <c r="W23" s="144"/>
      <c r="X23" s="137">
        <f t="shared" si="0"/>
        <v>20.399999999999999</v>
      </c>
      <c r="Y23" s="138" t="s">
        <v>60</v>
      </c>
      <c r="Z23" s="135"/>
      <c r="AA23" s="136">
        <v>90</v>
      </c>
      <c r="AB23" s="136"/>
      <c r="AC23" s="137"/>
      <c r="AD23" s="135"/>
      <c r="AE23" s="137"/>
      <c r="AF23" s="135"/>
      <c r="AG23" s="137"/>
      <c r="AH23" s="108">
        <f t="shared" si="3"/>
        <v>18.36</v>
      </c>
      <c r="AI23" s="153"/>
      <c r="AJ23" s="136"/>
      <c r="AK23" s="136"/>
      <c r="AL23" s="136"/>
      <c r="AM23" s="136"/>
      <c r="AN23" s="136">
        <f>X23*AA23/100</f>
        <v>18.36</v>
      </c>
      <c r="AO23" s="136"/>
      <c r="AP23" s="136"/>
      <c r="AQ23" s="137"/>
      <c r="AV23" s="11"/>
    </row>
    <row r="24" spans="1:48" ht="15" customHeight="1" x14ac:dyDescent="0.25">
      <c r="A24" s="348"/>
      <c r="B24" s="341"/>
      <c r="C24" s="341"/>
      <c r="D24" s="341"/>
      <c r="E24" s="341"/>
      <c r="F24" s="341"/>
      <c r="G24" s="341"/>
      <c r="H24" s="341"/>
      <c r="I24" s="379">
        <v>706.5</v>
      </c>
      <c r="J24" s="341"/>
      <c r="K24" s="341"/>
      <c r="L24" s="341"/>
      <c r="M24" s="341"/>
      <c r="N24" s="341"/>
      <c r="O24" s="341"/>
      <c r="P24" s="341"/>
      <c r="Q24" s="341"/>
      <c r="R24" s="341"/>
      <c r="S24" s="341"/>
      <c r="T24" s="341"/>
      <c r="U24" s="341"/>
      <c r="V24" s="341"/>
      <c r="W24" s="144"/>
      <c r="X24" s="137">
        <f t="shared" si="0"/>
        <v>706.5</v>
      </c>
      <c r="Y24" s="138" t="s">
        <v>61</v>
      </c>
      <c r="Z24" s="135"/>
      <c r="AA24" s="136">
        <v>90</v>
      </c>
      <c r="AB24" s="136"/>
      <c r="AC24" s="137"/>
      <c r="AD24" s="135"/>
      <c r="AE24" s="137"/>
      <c r="AF24" s="135"/>
      <c r="AG24" s="137"/>
      <c r="AH24" s="108">
        <f t="shared" si="3"/>
        <v>635.85</v>
      </c>
      <c r="AI24" s="153"/>
      <c r="AJ24" s="136"/>
      <c r="AK24" s="136"/>
      <c r="AL24" s="136"/>
      <c r="AM24" s="136"/>
      <c r="AN24" s="136">
        <f>X24*AA24/100</f>
        <v>635.85</v>
      </c>
      <c r="AO24" s="136"/>
      <c r="AP24" s="136"/>
      <c r="AQ24" s="137"/>
      <c r="AS24" s="11"/>
    </row>
    <row r="25" spans="1:48" ht="15" customHeight="1" x14ac:dyDescent="0.25">
      <c r="A25" s="348"/>
      <c r="B25" s="341"/>
      <c r="C25" s="379"/>
      <c r="D25" s="379"/>
      <c r="E25" s="213"/>
      <c r="F25" s="213"/>
      <c r="G25" s="213"/>
      <c r="H25" s="213"/>
      <c r="I25" s="213"/>
      <c r="J25" s="213"/>
      <c r="K25" s="213"/>
      <c r="L25" s="213"/>
      <c r="M25" s="213"/>
      <c r="N25" s="213"/>
      <c r="O25" s="384"/>
      <c r="P25" s="213"/>
      <c r="Q25" s="213"/>
      <c r="R25" s="213"/>
      <c r="S25" s="379">
        <v>1</v>
      </c>
      <c r="T25" s="384"/>
      <c r="U25" s="213"/>
      <c r="V25" s="213"/>
      <c r="W25" s="110"/>
      <c r="X25" s="137">
        <f t="shared" si="0"/>
        <v>1</v>
      </c>
      <c r="Y25" s="138" t="s">
        <v>217</v>
      </c>
      <c r="Z25" s="135"/>
      <c r="AA25" s="136">
        <v>90</v>
      </c>
      <c r="AB25" s="136"/>
      <c r="AC25" s="137"/>
      <c r="AD25" s="135"/>
      <c r="AE25" s="137"/>
      <c r="AF25" s="135"/>
      <c r="AG25" s="137"/>
      <c r="AH25" s="108">
        <f t="shared" si="3"/>
        <v>0.9</v>
      </c>
      <c r="AI25" s="145"/>
      <c r="AJ25" s="144"/>
      <c r="AK25" s="144"/>
      <c r="AL25" s="144"/>
      <c r="AM25" s="144"/>
      <c r="AN25" s="144">
        <f>X25*AA25/100</f>
        <v>0.9</v>
      </c>
      <c r="AO25" s="144"/>
      <c r="AP25" s="144"/>
      <c r="AQ25" s="137"/>
      <c r="AR25" s="15"/>
      <c r="AS25" s="11"/>
    </row>
    <row r="26" spans="1:48" ht="15" customHeight="1" x14ac:dyDescent="0.25">
      <c r="A26" s="348"/>
      <c r="B26" s="341"/>
      <c r="C26" s="341"/>
      <c r="D26" s="341"/>
      <c r="E26" s="341"/>
      <c r="F26" s="341"/>
      <c r="G26" s="341"/>
      <c r="H26" s="341"/>
      <c r="I26" s="341"/>
      <c r="J26" s="341"/>
      <c r="K26" s="341"/>
      <c r="L26" s="379">
        <v>42</v>
      </c>
      <c r="M26" s="341"/>
      <c r="N26" s="341"/>
      <c r="O26" s="341"/>
      <c r="P26" s="341"/>
      <c r="Q26" s="341"/>
      <c r="R26" s="341"/>
      <c r="S26" s="341"/>
      <c r="T26" s="341"/>
      <c r="U26" s="341"/>
      <c r="V26" s="341"/>
      <c r="W26" s="144"/>
      <c r="X26" s="137">
        <f t="shared" si="0"/>
        <v>42</v>
      </c>
      <c r="Y26" s="138" t="s">
        <v>45</v>
      </c>
      <c r="Z26" s="136">
        <v>100</v>
      </c>
      <c r="AA26" s="136"/>
      <c r="AB26" s="136"/>
      <c r="AC26" s="137"/>
      <c r="AD26" s="135">
        <f>X26*Z26/100</f>
        <v>42</v>
      </c>
      <c r="AE26" s="137"/>
      <c r="AF26" s="135"/>
      <c r="AG26" s="137"/>
      <c r="AH26" s="108">
        <f t="shared" si="3"/>
        <v>0</v>
      </c>
      <c r="AI26" s="145"/>
      <c r="AJ26" s="144"/>
      <c r="AK26" s="144"/>
      <c r="AL26" s="144"/>
      <c r="AM26" s="144"/>
      <c r="AN26" s="144"/>
      <c r="AO26" s="144"/>
      <c r="AP26" s="144"/>
      <c r="AQ26" s="137"/>
      <c r="AV26" s="11"/>
    </row>
    <row r="27" spans="1:48" ht="15" customHeight="1" x14ac:dyDescent="0.25">
      <c r="A27" s="348"/>
      <c r="B27" s="341"/>
      <c r="C27" s="341"/>
      <c r="D27" s="341"/>
      <c r="E27" s="341"/>
      <c r="F27" s="341"/>
      <c r="G27" s="341"/>
      <c r="H27" s="341"/>
      <c r="I27" s="341"/>
      <c r="J27" s="379">
        <v>1209.5999999999999</v>
      </c>
      <c r="K27" s="341"/>
      <c r="L27" s="341"/>
      <c r="M27" s="341"/>
      <c r="N27" s="341"/>
      <c r="O27" s="341"/>
      <c r="P27" s="341"/>
      <c r="Q27" s="341"/>
      <c r="R27" s="341"/>
      <c r="S27" s="341"/>
      <c r="T27" s="341"/>
      <c r="U27" s="341"/>
      <c r="V27" s="341"/>
      <c r="W27" s="144"/>
      <c r="X27" s="137">
        <f t="shared" si="0"/>
        <v>1209.5999999999999</v>
      </c>
      <c r="Y27" s="138" t="s">
        <v>62</v>
      </c>
      <c r="Z27" s="136">
        <v>100</v>
      </c>
      <c r="AA27" s="136"/>
      <c r="AB27" s="136"/>
      <c r="AC27" s="137"/>
      <c r="AD27" s="135">
        <f>Z27*X27/100</f>
        <v>1209.5999999999999</v>
      </c>
      <c r="AE27" s="137"/>
      <c r="AF27" s="135"/>
      <c r="AG27" s="137"/>
      <c r="AH27" s="108">
        <f t="shared" si="3"/>
        <v>0</v>
      </c>
      <c r="AI27" s="145"/>
      <c r="AJ27" s="144"/>
      <c r="AK27" s="144"/>
      <c r="AL27" s="144"/>
      <c r="AM27" s="144"/>
      <c r="AN27" s="144"/>
      <c r="AO27" s="144"/>
      <c r="AP27" s="144"/>
      <c r="AQ27" s="137"/>
      <c r="AV27" s="11"/>
    </row>
    <row r="28" spans="1:48" ht="15" customHeight="1" x14ac:dyDescent="0.25">
      <c r="A28" s="348"/>
      <c r="B28" s="341"/>
      <c r="C28" s="341"/>
      <c r="D28" s="341"/>
      <c r="E28" s="341"/>
      <c r="F28" s="341"/>
      <c r="G28" s="341"/>
      <c r="H28" s="341"/>
      <c r="I28" s="341"/>
      <c r="J28" s="379"/>
      <c r="K28" s="341"/>
      <c r="L28" s="341"/>
      <c r="M28" s="341"/>
      <c r="N28" s="341"/>
      <c r="O28" s="341"/>
      <c r="P28" s="341"/>
      <c r="Q28" s="341"/>
      <c r="R28" s="341"/>
      <c r="S28" s="341"/>
      <c r="T28" s="341"/>
      <c r="U28" s="341"/>
      <c r="V28" s="341"/>
      <c r="W28" s="144"/>
      <c r="X28" s="137">
        <f t="shared" si="0"/>
        <v>0</v>
      </c>
      <c r="Y28" s="138" t="s">
        <v>124</v>
      </c>
      <c r="Z28" s="140">
        <v>100</v>
      </c>
      <c r="AA28" s="144"/>
      <c r="AB28" s="144"/>
      <c r="AC28" s="139"/>
      <c r="AD28" s="140">
        <f>Z28*X28/100</f>
        <v>0</v>
      </c>
      <c r="AE28" s="139"/>
      <c r="AF28" s="135"/>
      <c r="AG28" s="137"/>
      <c r="AH28" s="108">
        <f t="shared" si="3"/>
        <v>0</v>
      </c>
      <c r="AI28" s="145"/>
      <c r="AJ28" s="144"/>
      <c r="AK28" s="144"/>
      <c r="AL28" s="144"/>
      <c r="AM28" s="144"/>
      <c r="AN28" s="144"/>
      <c r="AO28" s="144"/>
      <c r="AP28" s="144"/>
      <c r="AQ28" s="137"/>
    </row>
    <row r="29" spans="1:48" ht="15" customHeight="1" x14ac:dyDescent="0.25">
      <c r="A29" s="348"/>
      <c r="B29" s="341"/>
      <c r="C29" s="341"/>
      <c r="D29" s="341"/>
      <c r="E29" s="341"/>
      <c r="F29" s="341"/>
      <c r="G29" s="341"/>
      <c r="H29" s="341"/>
      <c r="I29" s="341"/>
      <c r="J29" s="341"/>
      <c r="K29" s="379"/>
      <c r="L29" s="341"/>
      <c r="M29" s="341"/>
      <c r="N29" s="341"/>
      <c r="O29" s="341"/>
      <c r="P29" s="341"/>
      <c r="Q29" s="341"/>
      <c r="R29" s="341"/>
      <c r="S29" s="341"/>
      <c r="T29" s="341"/>
      <c r="U29" s="341"/>
      <c r="V29" s="341"/>
      <c r="W29" s="144"/>
      <c r="X29" s="137">
        <f t="shared" si="0"/>
        <v>0</v>
      </c>
      <c r="Y29" s="138" t="s">
        <v>7</v>
      </c>
      <c r="Z29" s="110">
        <v>100</v>
      </c>
      <c r="AA29" s="144"/>
      <c r="AB29" s="144"/>
      <c r="AC29" s="139"/>
      <c r="AD29" s="140">
        <f>Z29*X29/100</f>
        <v>0</v>
      </c>
      <c r="AE29" s="139"/>
      <c r="AF29" s="135"/>
      <c r="AG29" s="137"/>
      <c r="AH29" s="108">
        <f t="shared" si="3"/>
        <v>0</v>
      </c>
      <c r="AI29" s="145"/>
      <c r="AJ29" s="144"/>
      <c r="AK29" s="144"/>
      <c r="AL29" s="144"/>
      <c r="AM29" s="144"/>
      <c r="AN29" s="144"/>
      <c r="AO29" s="144"/>
      <c r="AP29" s="144"/>
      <c r="AQ29" s="137"/>
    </row>
    <row r="30" spans="1:48" ht="15" customHeight="1" x14ac:dyDescent="0.25">
      <c r="A30" s="348"/>
      <c r="B30" s="341"/>
      <c r="C30" s="341"/>
      <c r="D30" s="341"/>
      <c r="E30" s="341"/>
      <c r="F30" s="341"/>
      <c r="G30" s="341"/>
      <c r="H30" s="341"/>
      <c r="I30" s="341"/>
      <c r="J30" s="341"/>
      <c r="K30" s="341"/>
      <c r="L30" s="341"/>
      <c r="M30" s="341"/>
      <c r="N30" s="341"/>
      <c r="O30" s="341"/>
      <c r="P30" s="341"/>
      <c r="Q30" s="341"/>
      <c r="R30" s="341"/>
      <c r="S30" s="341"/>
      <c r="T30" s="341"/>
      <c r="U30" s="341"/>
      <c r="V30" s="341"/>
      <c r="W30" s="144"/>
      <c r="X30" s="137">
        <f t="shared" si="0"/>
        <v>0</v>
      </c>
      <c r="Y30" s="138" t="s">
        <v>8</v>
      </c>
      <c r="Z30" s="144">
        <v>100</v>
      </c>
      <c r="AA30" s="144"/>
      <c r="AB30" s="144"/>
      <c r="AC30" s="139"/>
      <c r="AD30" s="140">
        <f>Z30*X30/100</f>
        <v>0</v>
      </c>
      <c r="AE30" s="139"/>
      <c r="AF30" s="135"/>
      <c r="AG30" s="137"/>
      <c r="AH30" s="108">
        <f t="shared" si="3"/>
        <v>0</v>
      </c>
      <c r="AI30" s="145"/>
      <c r="AJ30" s="144"/>
      <c r="AK30" s="144"/>
      <c r="AL30" s="144"/>
      <c r="AM30" s="144"/>
      <c r="AN30" s="144"/>
      <c r="AO30" s="144"/>
      <c r="AP30" s="144"/>
      <c r="AQ30" s="137"/>
    </row>
    <row r="31" spans="1:48" s="1" customFormat="1" ht="15" customHeight="1" x14ac:dyDescent="0.25">
      <c r="A31" s="215"/>
      <c r="B31" s="341"/>
      <c r="C31" s="341"/>
      <c r="D31" s="341"/>
      <c r="E31" s="341"/>
      <c r="F31" s="341"/>
      <c r="G31" s="341"/>
      <c r="H31" s="341"/>
      <c r="I31" s="379">
        <f>-(O31+T31)*AA31%</f>
        <v>0</v>
      </c>
      <c r="J31" s="341"/>
      <c r="K31" s="341"/>
      <c r="L31" s="341"/>
      <c r="M31" s="341"/>
      <c r="N31" s="341"/>
      <c r="O31" s="341"/>
      <c r="P31" s="341"/>
      <c r="Q31" s="341"/>
      <c r="R31" s="341"/>
      <c r="S31" s="341"/>
      <c r="T31" s="341"/>
      <c r="U31" s="213"/>
      <c r="V31" s="213"/>
      <c r="W31" s="142"/>
      <c r="X31" s="137">
        <f t="shared" si="0"/>
        <v>0</v>
      </c>
      <c r="Y31" s="96" t="s">
        <v>216</v>
      </c>
      <c r="Z31" s="155"/>
      <c r="AA31" s="142">
        <v>100</v>
      </c>
      <c r="AB31" s="142"/>
      <c r="AC31" s="143"/>
      <c r="AD31" s="156"/>
      <c r="AE31" s="143"/>
      <c r="AF31" s="157"/>
      <c r="AG31" s="158"/>
      <c r="AH31" s="159"/>
      <c r="AI31" s="155"/>
      <c r="AJ31" s="142"/>
      <c r="AK31" s="142"/>
      <c r="AL31" s="142"/>
      <c r="AM31" s="142"/>
      <c r="AN31" s="142"/>
      <c r="AO31" s="142"/>
      <c r="AP31" s="142"/>
      <c r="AQ31" s="158"/>
    </row>
    <row r="32" spans="1:48" ht="15" customHeight="1" x14ac:dyDescent="0.25">
      <c r="A32" s="341"/>
      <c r="B32" s="341"/>
      <c r="C32" s="234"/>
      <c r="D32" s="234"/>
      <c r="E32" s="234"/>
      <c r="F32" s="234"/>
      <c r="G32" s="234"/>
      <c r="H32" s="234"/>
      <c r="I32" s="397"/>
      <c r="J32" s="234"/>
      <c r="K32" s="234"/>
      <c r="L32" s="234"/>
      <c r="M32" s="234"/>
      <c r="N32" s="213"/>
      <c r="O32" s="397"/>
      <c r="P32" s="234"/>
      <c r="Q32" s="234"/>
      <c r="R32" s="234"/>
      <c r="S32" s="234"/>
      <c r="T32" s="397"/>
      <c r="U32" s="234"/>
      <c r="V32" s="234"/>
      <c r="W32" s="161"/>
      <c r="X32" s="137">
        <f t="shared" si="0"/>
        <v>0</v>
      </c>
      <c r="Y32" s="96" t="s">
        <v>215</v>
      </c>
      <c r="Z32" s="113"/>
      <c r="AA32" s="142"/>
      <c r="AB32" s="142"/>
      <c r="AC32" s="143"/>
      <c r="AD32" s="140">
        <f>X32*Z32/100</f>
        <v>0</v>
      </c>
      <c r="AE32" s="139"/>
      <c r="AF32" s="140">
        <f>X32*AB32/100</f>
        <v>0</v>
      </c>
      <c r="AG32" s="139"/>
      <c r="AH32" s="108">
        <f>SUM(AI32:AQ32)</f>
        <v>0</v>
      </c>
      <c r="AI32" s="145"/>
      <c r="AJ32" s="142"/>
      <c r="AK32" s="142"/>
      <c r="AL32" s="142"/>
      <c r="AM32" s="142"/>
      <c r="AN32" s="142"/>
      <c r="AO32" s="142"/>
      <c r="AP32" s="142"/>
      <c r="AQ32" s="137"/>
    </row>
    <row r="33" spans="1:44" ht="15" customHeight="1" x14ac:dyDescent="0.25">
      <c r="A33" s="341"/>
      <c r="B33" s="341"/>
      <c r="C33" s="379">
        <v>9.3000000000000007</v>
      </c>
      <c r="D33" s="397"/>
      <c r="E33" s="234"/>
      <c r="F33" s="234"/>
      <c r="G33" s="234"/>
      <c r="H33" s="234"/>
      <c r="I33" s="397"/>
      <c r="J33" s="234"/>
      <c r="K33" s="234"/>
      <c r="L33" s="234"/>
      <c r="M33" s="234"/>
      <c r="N33" s="234"/>
      <c r="O33" s="397">
        <f>7.6*46%</f>
        <v>3.496</v>
      </c>
      <c r="P33" s="341"/>
      <c r="Q33" s="397"/>
      <c r="R33" s="397">
        <v>1915.4</v>
      </c>
      <c r="S33" s="397">
        <v>576.70000000000005</v>
      </c>
      <c r="T33" s="397">
        <f>7.6*54%</f>
        <v>4.1040000000000001</v>
      </c>
      <c r="U33" s="234"/>
      <c r="V33" s="234"/>
      <c r="W33" s="161"/>
      <c r="X33" s="137">
        <f t="shared" si="0"/>
        <v>2509</v>
      </c>
      <c r="Y33" s="138" t="s">
        <v>39</v>
      </c>
      <c r="Z33" s="113">
        <v>19.600000000000001</v>
      </c>
      <c r="AA33" s="142"/>
      <c r="AB33" s="110">
        <v>79.7</v>
      </c>
      <c r="AC33" s="139"/>
      <c r="AD33" s="140">
        <f>X33*Z33/100</f>
        <v>491.76400000000001</v>
      </c>
      <c r="AE33" s="139"/>
      <c r="AF33" s="135">
        <f>X33*AB33/100</f>
        <v>1999.6730000000002</v>
      </c>
      <c r="AG33" s="137"/>
      <c r="AH33" s="108">
        <f t="shared" si="3"/>
        <v>0</v>
      </c>
      <c r="AI33" s="145"/>
      <c r="AJ33" s="144"/>
      <c r="AK33" s="144"/>
      <c r="AL33" s="144"/>
      <c r="AM33" s="144"/>
      <c r="AN33" s="144"/>
      <c r="AO33" s="144"/>
      <c r="AP33" s="144"/>
      <c r="AQ33" s="137"/>
    </row>
    <row r="34" spans="1:44" ht="15" customHeight="1" x14ac:dyDescent="0.25">
      <c r="A34" s="341"/>
      <c r="B34" s="341"/>
      <c r="C34" s="234"/>
      <c r="D34" s="234"/>
      <c r="E34" s="234"/>
      <c r="F34" s="234"/>
      <c r="G34" s="234"/>
      <c r="H34" s="234"/>
      <c r="I34" s="234"/>
      <c r="J34" s="234"/>
      <c r="K34" s="234"/>
      <c r="L34" s="234"/>
      <c r="M34" s="234"/>
      <c r="N34" s="234"/>
      <c r="O34" s="234"/>
      <c r="P34" s="234"/>
      <c r="Q34" s="234"/>
      <c r="R34" s="234"/>
      <c r="S34" s="234"/>
      <c r="T34" s="234"/>
      <c r="U34" s="234"/>
      <c r="V34" s="234"/>
      <c r="W34" s="161"/>
      <c r="X34" s="137">
        <f t="shared" si="0"/>
        <v>0</v>
      </c>
      <c r="Y34" s="138" t="s">
        <v>40</v>
      </c>
      <c r="Z34" s="156"/>
      <c r="AA34" s="142"/>
      <c r="AB34" s="142"/>
      <c r="AC34" s="139"/>
      <c r="AD34" s="140">
        <f>X34*Z34/100</f>
        <v>0</v>
      </c>
      <c r="AE34" s="139"/>
      <c r="AF34" s="135">
        <f>X34*AB34</f>
        <v>0</v>
      </c>
      <c r="AG34" s="137"/>
      <c r="AH34" s="108">
        <f t="shared" si="3"/>
        <v>0</v>
      </c>
      <c r="AI34" s="145"/>
      <c r="AJ34" s="144"/>
      <c r="AK34" s="144"/>
      <c r="AL34" s="144"/>
      <c r="AM34" s="144"/>
      <c r="AN34" s="144"/>
      <c r="AO34" s="144"/>
      <c r="AP34" s="144"/>
      <c r="AQ34" s="137"/>
    </row>
    <row r="35" spans="1:44" ht="15" customHeight="1" x14ac:dyDescent="0.25">
      <c r="A35" s="341"/>
      <c r="B35" s="341"/>
      <c r="C35" s="234"/>
      <c r="D35" s="234"/>
      <c r="E35" s="235"/>
      <c r="F35" s="234"/>
      <c r="G35" s="234"/>
      <c r="H35" s="234"/>
      <c r="I35" s="234"/>
      <c r="J35" s="234"/>
      <c r="K35" s="234"/>
      <c r="L35" s="234"/>
      <c r="M35" s="234"/>
      <c r="N35" s="234"/>
      <c r="O35" s="234"/>
      <c r="P35" s="234"/>
      <c r="Q35" s="234"/>
      <c r="R35" s="234"/>
      <c r="S35" s="234"/>
      <c r="T35" s="234"/>
      <c r="U35" s="234"/>
      <c r="V35" s="234"/>
      <c r="W35" s="161"/>
      <c r="X35" s="137">
        <f t="shared" si="0"/>
        <v>0</v>
      </c>
      <c r="Y35" s="138" t="s">
        <v>41</v>
      </c>
      <c r="Z35" s="156"/>
      <c r="AA35" s="142"/>
      <c r="AB35" s="142"/>
      <c r="AC35" s="139"/>
      <c r="AD35" s="140">
        <f>X35*Z35/100</f>
        <v>0</v>
      </c>
      <c r="AE35" s="139"/>
      <c r="AF35" s="135">
        <f>X35*AB35</f>
        <v>0</v>
      </c>
      <c r="AG35" s="137"/>
      <c r="AH35" s="108">
        <f t="shared" si="3"/>
        <v>0</v>
      </c>
      <c r="AI35" s="145"/>
      <c r="AJ35" s="144"/>
      <c r="AK35" s="144"/>
      <c r="AL35" s="144"/>
      <c r="AM35" s="144"/>
      <c r="AN35" s="144"/>
      <c r="AO35" s="144"/>
      <c r="AP35" s="144"/>
      <c r="AQ35" s="137"/>
    </row>
    <row r="36" spans="1:44" ht="15" customHeight="1" x14ac:dyDescent="0.25">
      <c r="A36" s="341"/>
      <c r="B36" s="341"/>
      <c r="C36" s="234"/>
      <c r="D36" s="234"/>
      <c r="E36" s="397">
        <v>11.1</v>
      </c>
      <c r="F36" s="234"/>
      <c r="G36" s="234"/>
      <c r="H36" s="234"/>
      <c r="I36" s="234"/>
      <c r="J36" s="234"/>
      <c r="K36" s="234"/>
      <c r="L36" s="234"/>
      <c r="M36" s="234"/>
      <c r="N36" s="234"/>
      <c r="O36" s="234"/>
      <c r="P36" s="397">
        <v>22.2</v>
      </c>
      <c r="Q36" s="234"/>
      <c r="R36" s="234"/>
      <c r="S36" s="234"/>
      <c r="T36" s="234"/>
      <c r="U36" s="234"/>
      <c r="V36" s="234"/>
      <c r="W36" s="161"/>
      <c r="X36" s="137">
        <f t="shared" si="0"/>
        <v>33.299999999999997</v>
      </c>
      <c r="Y36" s="138" t="s">
        <v>42</v>
      </c>
      <c r="Z36" s="156"/>
      <c r="AA36" s="142"/>
      <c r="AB36" s="110">
        <v>89.2</v>
      </c>
      <c r="AC36" s="139"/>
      <c r="AD36" s="140"/>
      <c r="AE36" s="139"/>
      <c r="AF36" s="135">
        <f>X36*AB36/100</f>
        <v>29.703599999999998</v>
      </c>
      <c r="AG36" s="137"/>
      <c r="AH36" s="108">
        <f t="shared" si="3"/>
        <v>0</v>
      </c>
      <c r="AI36" s="145"/>
      <c r="AJ36" s="144"/>
      <c r="AK36" s="144"/>
      <c r="AL36" s="144"/>
      <c r="AM36" s="144"/>
      <c r="AN36" s="144"/>
      <c r="AO36" s="144"/>
      <c r="AP36" s="144"/>
      <c r="AQ36" s="137"/>
    </row>
    <row r="37" spans="1:44" s="1" customFormat="1" ht="15" customHeight="1" x14ac:dyDescent="0.25">
      <c r="A37" s="213"/>
      <c r="B37" s="213"/>
      <c r="C37" s="213"/>
      <c r="D37" s="213"/>
      <c r="E37" s="213"/>
      <c r="F37" s="213"/>
      <c r="G37" s="213"/>
      <c r="H37" s="213"/>
      <c r="I37" s="213"/>
      <c r="J37" s="213"/>
      <c r="K37" s="213"/>
      <c r="L37" s="213"/>
      <c r="M37" s="213"/>
      <c r="N37" s="379">
        <f>AF37-AE37</f>
        <v>0</v>
      </c>
      <c r="O37" s="213"/>
      <c r="P37" s="213"/>
      <c r="Q37" s="213"/>
      <c r="R37" s="213"/>
      <c r="S37" s="213"/>
      <c r="T37" s="213"/>
      <c r="U37" s="213"/>
      <c r="V37" s="213"/>
      <c r="W37" s="142"/>
      <c r="X37" s="137">
        <f t="shared" si="0"/>
        <v>0</v>
      </c>
      <c r="Y37" s="96" t="s">
        <v>213</v>
      </c>
      <c r="Z37" s="140"/>
      <c r="AA37" s="144"/>
      <c r="AB37" s="144"/>
      <c r="AC37" s="139"/>
      <c r="AD37" s="156">
        <f>-AE37/$D$2%</f>
        <v>0</v>
      </c>
      <c r="AE37" s="164"/>
      <c r="AF37" s="165">
        <f>AE37*AB37%</f>
        <v>0</v>
      </c>
      <c r="AG37" s="158"/>
      <c r="AH37" s="159"/>
      <c r="AI37" s="155"/>
      <c r="AJ37" s="155"/>
      <c r="AK37" s="142"/>
      <c r="AL37" s="142"/>
      <c r="AM37" s="142"/>
      <c r="AN37" s="142"/>
      <c r="AO37" s="142"/>
      <c r="AP37" s="142"/>
      <c r="AQ37" s="158"/>
    </row>
    <row r="38" spans="1:44" ht="15" customHeight="1" x14ac:dyDescent="0.25">
      <c r="A38" s="213"/>
      <c r="B38" s="213"/>
      <c r="C38" s="213"/>
      <c r="D38" s="213"/>
      <c r="E38" s="213"/>
      <c r="F38" s="213"/>
      <c r="G38" s="213"/>
      <c r="H38" s="213"/>
      <c r="I38" s="213"/>
      <c r="J38" s="213"/>
      <c r="K38" s="213"/>
      <c r="L38" s="213"/>
      <c r="M38" s="213"/>
      <c r="N38" s="213"/>
      <c r="O38" s="213"/>
      <c r="P38" s="213"/>
      <c r="Q38" s="213"/>
      <c r="R38" s="213"/>
      <c r="S38" s="213"/>
      <c r="T38" s="213"/>
      <c r="U38" s="213"/>
      <c r="V38" s="213"/>
      <c r="W38" s="142"/>
      <c r="X38" s="137">
        <f t="shared" si="0"/>
        <v>0</v>
      </c>
      <c r="Y38" s="96" t="s">
        <v>214</v>
      </c>
      <c r="Z38" s="140"/>
      <c r="AA38" s="144"/>
      <c r="AB38" s="144"/>
      <c r="AC38" s="139"/>
      <c r="AD38" s="156">
        <f>-AE38/$D$2%</f>
        <v>0</v>
      </c>
      <c r="AE38" s="139"/>
      <c r="AF38" s="140">
        <f>AE38*AB38%</f>
        <v>0</v>
      </c>
      <c r="AG38" s="158"/>
      <c r="AH38" s="159"/>
      <c r="AI38" s="155"/>
      <c r="AJ38" s="155"/>
      <c r="AK38" s="142"/>
      <c r="AL38" s="142"/>
      <c r="AM38" s="142"/>
      <c r="AN38" s="142"/>
      <c r="AO38" s="142"/>
      <c r="AP38" s="142"/>
      <c r="AQ38" s="158"/>
    </row>
    <row r="39" spans="1:44" ht="15" customHeight="1" x14ac:dyDescent="0.25">
      <c r="A39" s="341"/>
      <c r="B39" s="341"/>
      <c r="C39" s="234"/>
      <c r="D39" s="234"/>
      <c r="E39" s="234"/>
      <c r="F39" s="234"/>
      <c r="G39" s="234"/>
      <c r="H39" s="234"/>
      <c r="I39" s="234"/>
      <c r="J39" s="234"/>
      <c r="K39" s="234"/>
      <c r="L39" s="234"/>
      <c r="M39" s="234"/>
      <c r="N39" s="234"/>
      <c r="O39" s="234"/>
      <c r="P39" s="234"/>
      <c r="Q39" s="234"/>
      <c r="R39" s="234"/>
      <c r="S39" s="234"/>
      <c r="T39" s="234"/>
      <c r="U39" s="234"/>
      <c r="V39" s="234"/>
      <c r="W39" s="161"/>
      <c r="X39" s="137">
        <f t="shared" si="0"/>
        <v>0</v>
      </c>
      <c r="Y39" s="138" t="s">
        <v>63</v>
      </c>
      <c r="Z39" s="156"/>
      <c r="AA39" s="142"/>
      <c r="AB39" s="142"/>
      <c r="AC39" s="112">
        <f>100-22.83</f>
        <v>77.17</v>
      </c>
      <c r="AD39" s="140"/>
      <c r="AE39" s="139"/>
      <c r="AF39" s="135">
        <f>-SUM(AF33:AF38)</f>
        <v>-2029.3766000000003</v>
      </c>
      <c r="AG39" s="137">
        <f>-AF39*AC39/100</f>
        <v>1566.0699222200003</v>
      </c>
      <c r="AH39" s="108">
        <f>SUM(AI39:AQ39)</f>
        <v>1567.6359921422206</v>
      </c>
      <c r="AI39" s="111">
        <f>AG39*65.2%</f>
        <v>1021.0775892874402</v>
      </c>
      <c r="AJ39" s="111">
        <f>AG39*9.9%</f>
        <v>155.04092229978005</v>
      </c>
      <c r="AK39" s="110">
        <f>AG39*13.3%</f>
        <v>208.28729965526006</v>
      </c>
      <c r="AL39" s="110">
        <f>AG39*7%</f>
        <v>109.62489455540003</v>
      </c>
      <c r="AM39" s="110">
        <f>AG39*0%</f>
        <v>0</v>
      </c>
      <c r="AN39" s="110">
        <f>AG39*3.2%</f>
        <v>50.11423751104001</v>
      </c>
      <c r="AO39" s="110">
        <f>AG39*1.5%</f>
        <v>23.491048833300002</v>
      </c>
      <c r="AP39" s="110"/>
      <c r="AQ39" s="137"/>
      <c r="AR39" s="19"/>
    </row>
    <row r="40" spans="1:44" ht="15" customHeight="1" x14ac:dyDescent="0.25">
      <c r="A40" s="341"/>
      <c r="B40" s="341"/>
      <c r="C40" s="234"/>
      <c r="D40" s="234"/>
      <c r="E40" s="397"/>
      <c r="F40" s="234"/>
      <c r="G40" s="234"/>
      <c r="H40" s="234"/>
      <c r="I40" s="234"/>
      <c r="J40" s="234"/>
      <c r="K40" s="234"/>
      <c r="L40" s="234"/>
      <c r="M40" s="234"/>
      <c r="N40" s="234"/>
      <c r="O40" s="397"/>
      <c r="P40" s="234"/>
      <c r="Q40" s="397"/>
      <c r="R40" s="236"/>
      <c r="S40" s="397"/>
      <c r="T40" s="397"/>
      <c r="U40" s="397"/>
      <c r="V40" s="234"/>
      <c r="W40" s="115"/>
      <c r="X40" s="137">
        <f t="shared" si="0"/>
        <v>0</v>
      </c>
      <c r="Y40" s="138" t="s">
        <v>13</v>
      </c>
      <c r="Z40" s="113"/>
      <c r="AA40" s="142"/>
      <c r="AB40" s="110"/>
      <c r="AC40" s="143"/>
      <c r="AD40" s="140">
        <f>X40*Z40/100</f>
        <v>0</v>
      </c>
      <c r="AE40" s="139"/>
      <c r="AF40" s="135">
        <f>X40*AB40/100</f>
        <v>0</v>
      </c>
      <c r="AG40" s="137"/>
      <c r="AH40" s="108">
        <f t="shared" si="3"/>
        <v>0</v>
      </c>
      <c r="AI40" s="155"/>
      <c r="AJ40" s="142"/>
      <c r="AK40" s="142"/>
      <c r="AL40" s="142"/>
      <c r="AM40" s="142"/>
      <c r="AN40" s="142"/>
      <c r="AO40" s="142"/>
      <c r="AP40" s="144"/>
      <c r="AQ40" s="137"/>
    </row>
    <row r="41" spans="1:44" ht="15" customHeight="1" x14ac:dyDescent="0.25">
      <c r="A41" s="341"/>
      <c r="B41" s="341"/>
      <c r="C41" s="234"/>
      <c r="D41" s="234"/>
      <c r="E41" s="397"/>
      <c r="F41" s="234"/>
      <c r="G41" s="234"/>
      <c r="H41" s="234"/>
      <c r="I41" s="234"/>
      <c r="J41" s="234"/>
      <c r="K41" s="234"/>
      <c r="L41" s="234"/>
      <c r="M41" s="234"/>
      <c r="N41" s="234"/>
      <c r="O41" s="234"/>
      <c r="P41" s="234"/>
      <c r="Q41" s="234"/>
      <c r="R41" s="234"/>
      <c r="S41" s="397"/>
      <c r="T41" s="234"/>
      <c r="U41" s="397"/>
      <c r="V41" s="234"/>
      <c r="W41" s="115"/>
      <c r="X41" s="137">
        <f t="shared" si="0"/>
        <v>0</v>
      </c>
      <c r="Y41" s="138" t="s">
        <v>14</v>
      </c>
      <c r="Z41" s="156"/>
      <c r="AA41" s="142"/>
      <c r="AB41" s="110"/>
      <c r="AC41" s="143"/>
      <c r="AD41" s="140">
        <f>X41*Z41/100</f>
        <v>0</v>
      </c>
      <c r="AE41" s="139"/>
      <c r="AF41" s="135">
        <f>X41*AB41/100</f>
        <v>0</v>
      </c>
      <c r="AG41" s="137"/>
      <c r="AH41" s="108">
        <f t="shared" si="3"/>
        <v>0</v>
      </c>
      <c r="AI41" s="155"/>
      <c r="AJ41" s="142"/>
      <c r="AK41" s="142"/>
      <c r="AL41" s="142"/>
      <c r="AM41" s="142"/>
      <c r="AN41" s="142"/>
      <c r="AO41" s="142"/>
      <c r="AP41" s="144"/>
      <c r="AQ41" s="137"/>
    </row>
    <row r="42" spans="1:44" ht="15" customHeight="1" x14ac:dyDescent="0.25">
      <c r="A42" s="341"/>
      <c r="B42" s="341"/>
      <c r="C42" s="234"/>
      <c r="D42" s="234"/>
      <c r="E42" s="234"/>
      <c r="F42" s="234"/>
      <c r="G42" s="234"/>
      <c r="H42" s="234"/>
      <c r="I42" s="234"/>
      <c r="J42" s="234"/>
      <c r="K42" s="234"/>
      <c r="L42" s="234"/>
      <c r="M42" s="234"/>
      <c r="N42" s="234"/>
      <c r="O42" s="234"/>
      <c r="P42" s="234"/>
      <c r="Q42" s="234"/>
      <c r="R42" s="234"/>
      <c r="S42" s="234"/>
      <c r="T42" s="234"/>
      <c r="U42" s="397"/>
      <c r="V42" s="234"/>
      <c r="W42" s="115"/>
      <c r="X42" s="137">
        <f t="shared" si="0"/>
        <v>0</v>
      </c>
      <c r="Y42" s="138" t="s">
        <v>15</v>
      </c>
      <c r="Z42" s="156"/>
      <c r="AA42" s="142"/>
      <c r="AB42" s="142"/>
      <c r="AC42" s="143"/>
      <c r="AD42" s="140">
        <f>X42*Z42/100</f>
        <v>0</v>
      </c>
      <c r="AE42" s="139"/>
      <c r="AF42" s="135">
        <f>X42*AB42/100</f>
        <v>0</v>
      </c>
      <c r="AG42" s="137"/>
      <c r="AH42" s="108">
        <f t="shared" si="3"/>
        <v>0</v>
      </c>
      <c r="AI42" s="155"/>
      <c r="AJ42" s="142"/>
      <c r="AK42" s="142"/>
      <c r="AL42" s="142"/>
      <c r="AM42" s="142"/>
      <c r="AN42" s="142"/>
      <c r="AO42" s="142"/>
      <c r="AP42" s="144"/>
      <c r="AQ42" s="137"/>
    </row>
    <row r="43" spans="1:44" ht="15" customHeight="1" x14ac:dyDescent="0.25">
      <c r="A43" s="341"/>
      <c r="B43" s="341"/>
      <c r="C43" s="234"/>
      <c r="D43" s="234"/>
      <c r="E43" s="234"/>
      <c r="F43" s="234"/>
      <c r="G43" s="234"/>
      <c r="H43" s="234"/>
      <c r="I43" s="234"/>
      <c r="J43" s="234"/>
      <c r="K43" s="234"/>
      <c r="L43" s="234"/>
      <c r="M43" s="234"/>
      <c r="N43" s="234"/>
      <c r="O43" s="234"/>
      <c r="P43" s="234"/>
      <c r="Q43" s="234"/>
      <c r="R43" s="234"/>
      <c r="S43" s="234"/>
      <c r="T43" s="234"/>
      <c r="U43" s="234"/>
      <c r="V43" s="234"/>
      <c r="W43" s="161"/>
      <c r="X43" s="137">
        <f t="shared" si="0"/>
        <v>0</v>
      </c>
      <c r="Y43" s="138" t="s">
        <v>64</v>
      </c>
      <c r="Z43" s="156"/>
      <c r="AA43" s="142"/>
      <c r="AB43" s="142"/>
      <c r="AC43" s="112">
        <f>100-22.83</f>
        <v>77.17</v>
      </c>
      <c r="AD43" s="140"/>
      <c r="AE43" s="139"/>
      <c r="AF43" s="135">
        <f>-SUM(AF40:AF42)</f>
        <v>0</v>
      </c>
      <c r="AG43" s="137">
        <f>-AF43*AC43/100</f>
        <v>0</v>
      </c>
      <c r="AH43" s="108">
        <f t="shared" si="3"/>
        <v>0</v>
      </c>
      <c r="AI43" s="111">
        <f>AG43*65.2%</f>
        <v>0</v>
      </c>
      <c r="AJ43" s="111">
        <f>AG43*9.9%</f>
        <v>0</v>
      </c>
      <c r="AK43" s="110">
        <f>AG43*13.3%</f>
        <v>0</v>
      </c>
      <c r="AL43" s="110">
        <f>AG43*7%</f>
        <v>0</v>
      </c>
      <c r="AM43" s="110">
        <f>AG43*0%</f>
        <v>0</v>
      </c>
      <c r="AN43" s="110">
        <f>AG43*3.2%</f>
        <v>0</v>
      </c>
      <c r="AO43" s="110">
        <f>AG43*1.5%</f>
        <v>0</v>
      </c>
      <c r="AP43" s="110"/>
      <c r="AQ43" s="137"/>
    </row>
    <row r="44" spans="1:44" ht="15" customHeight="1" x14ac:dyDescent="0.25">
      <c r="A44" s="341"/>
      <c r="B44" s="379"/>
      <c r="C44" s="398"/>
      <c r="D44" s="234"/>
      <c r="E44" s="398"/>
      <c r="F44" s="234"/>
      <c r="G44" s="234"/>
      <c r="H44" s="234"/>
      <c r="I44" s="397"/>
      <c r="J44" s="234"/>
      <c r="K44" s="234"/>
      <c r="L44" s="234"/>
      <c r="M44" s="234"/>
      <c r="N44" s="234"/>
      <c r="O44" s="397"/>
      <c r="P44" s="234"/>
      <c r="Q44" s="398"/>
      <c r="R44" s="397"/>
      <c r="S44" s="397"/>
      <c r="T44" s="397"/>
      <c r="U44" s="397"/>
      <c r="V44" s="234"/>
      <c r="W44" s="115"/>
      <c r="X44" s="137">
        <f t="shared" si="0"/>
        <v>0</v>
      </c>
      <c r="Y44" s="138" t="s">
        <v>43</v>
      </c>
      <c r="Z44" s="113"/>
      <c r="AA44" s="142"/>
      <c r="AB44" s="110"/>
      <c r="AC44" s="143"/>
      <c r="AD44" s="135">
        <f>X44*Z44/100</f>
        <v>0</v>
      </c>
      <c r="AE44" s="137"/>
      <c r="AF44" s="135">
        <f t="shared" ref="AF44:AF51" si="5">X44*AB44/100</f>
        <v>0</v>
      </c>
      <c r="AG44" s="137"/>
      <c r="AH44" s="108">
        <f t="shared" si="3"/>
        <v>0</v>
      </c>
      <c r="AI44" s="145"/>
      <c r="AJ44" s="144"/>
      <c r="AK44" s="144"/>
      <c r="AL44" s="144"/>
      <c r="AM44" s="144"/>
      <c r="AN44" s="144"/>
      <c r="AO44" s="144"/>
      <c r="AP44" s="144"/>
      <c r="AQ44" s="137"/>
    </row>
    <row r="45" spans="1:44" ht="15" customHeight="1" x14ac:dyDescent="0.25">
      <c r="A45" s="341"/>
      <c r="B45" s="341"/>
      <c r="C45" s="234"/>
      <c r="D45" s="234"/>
      <c r="E45" s="234"/>
      <c r="F45" s="234"/>
      <c r="G45" s="234"/>
      <c r="H45" s="234"/>
      <c r="I45" s="397">
        <v>101.6</v>
      </c>
      <c r="J45" s="234"/>
      <c r="K45" s="234"/>
      <c r="L45" s="234"/>
      <c r="M45" s="234"/>
      <c r="N45" s="234"/>
      <c r="O45" s="397"/>
      <c r="P45" s="234"/>
      <c r="Q45" s="234"/>
      <c r="R45" s="234"/>
      <c r="S45" s="397"/>
      <c r="T45" s="397"/>
      <c r="U45" s="234"/>
      <c r="V45" s="234"/>
      <c r="W45" s="161"/>
      <c r="X45" s="137">
        <f t="shared" si="0"/>
        <v>101.6</v>
      </c>
      <c r="Y45" s="138" t="s">
        <v>44</v>
      </c>
      <c r="Z45" s="113">
        <v>39.1</v>
      </c>
      <c r="AA45" s="142"/>
      <c r="AB45" s="110">
        <v>53.4</v>
      </c>
      <c r="AC45" s="143"/>
      <c r="AD45" s="135">
        <f>X45*Z45/100</f>
        <v>39.7256</v>
      </c>
      <c r="AE45" s="137"/>
      <c r="AF45" s="135">
        <f t="shared" si="5"/>
        <v>54.254399999999997</v>
      </c>
      <c r="AG45" s="137"/>
      <c r="AH45" s="108">
        <f t="shared" si="3"/>
        <v>0</v>
      </c>
      <c r="AI45" s="145"/>
      <c r="AJ45" s="144"/>
      <c r="AK45" s="144"/>
      <c r="AL45" s="144"/>
      <c r="AM45" s="144"/>
      <c r="AN45" s="144"/>
      <c r="AO45" s="144"/>
      <c r="AP45" s="144"/>
      <c r="AQ45" s="137"/>
    </row>
    <row r="46" spans="1:44" ht="15" customHeight="1" x14ac:dyDescent="0.25">
      <c r="A46" s="341"/>
      <c r="B46" s="341"/>
      <c r="C46" s="234"/>
      <c r="D46" s="234"/>
      <c r="E46" s="234"/>
      <c r="F46" s="234"/>
      <c r="G46" s="234"/>
      <c r="H46" s="234"/>
      <c r="I46" s="397"/>
      <c r="J46" s="234"/>
      <c r="K46" s="234"/>
      <c r="L46" s="234"/>
      <c r="M46" s="234"/>
      <c r="N46" s="234"/>
      <c r="O46" s="234"/>
      <c r="P46" s="234"/>
      <c r="Q46" s="234"/>
      <c r="R46" s="234"/>
      <c r="S46" s="235"/>
      <c r="T46" s="234"/>
      <c r="U46" s="234"/>
      <c r="V46" s="234"/>
      <c r="W46" s="161"/>
      <c r="X46" s="137">
        <f t="shared" si="0"/>
        <v>0</v>
      </c>
      <c r="Y46" s="138" t="s">
        <v>29</v>
      </c>
      <c r="Z46" s="113"/>
      <c r="AA46" s="142"/>
      <c r="AB46" s="110"/>
      <c r="AC46" s="143"/>
      <c r="AD46" s="135">
        <f>X46*Z46/100</f>
        <v>0</v>
      </c>
      <c r="AE46" s="137"/>
      <c r="AF46" s="135">
        <f t="shared" si="5"/>
        <v>0</v>
      </c>
      <c r="AG46" s="137"/>
      <c r="AH46" s="108">
        <f t="shared" si="3"/>
        <v>0</v>
      </c>
      <c r="AI46" s="145"/>
      <c r="AJ46" s="144"/>
      <c r="AK46" s="144"/>
      <c r="AL46" s="144"/>
      <c r="AM46" s="144"/>
      <c r="AN46" s="144"/>
      <c r="AO46" s="144"/>
      <c r="AP46" s="144"/>
      <c r="AQ46" s="137"/>
    </row>
    <row r="47" spans="1:44" ht="15" customHeight="1" x14ac:dyDescent="0.25">
      <c r="A47" s="341"/>
      <c r="B47" s="341"/>
      <c r="C47" s="234"/>
      <c r="D47" s="397"/>
      <c r="E47" s="397"/>
      <c r="F47" s="234"/>
      <c r="G47" s="234"/>
      <c r="H47" s="234"/>
      <c r="I47" s="397">
        <v>54.3</v>
      </c>
      <c r="J47" s="234"/>
      <c r="K47" s="234"/>
      <c r="L47" s="234"/>
      <c r="M47" s="234"/>
      <c r="N47" s="234"/>
      <c r="O47" s="397"/>
      <c r="P47" s="397"/>
      <c r="Q47" s="397">
        <v>43</v>
      </c>
      <c r="R47" s="397"/>
      <c r="S47" s="397">
        <v>18.899999999999999</v>
      </c>
      <c r="T47" s="397"/>
      <c r="U47" s="234"/>
      <c r="V47" s="234"/>
      <c r="W47" s="161"/>
      <c r="X47" s="137">
        <f t="shared" si="0"/>
        <v>116.19999999999999</v>
      </c>
      <c r="Y47" s="138" t="s">
        <v>30</v>
      </c>
      <c r="Z47" s="156"/>
      <c r="AA47" s="142"/>
      <c r="AB47" s="110">
        <v>94.1</v>
      </c>
      <c r="AC47" s="143"/>
      <c r="AD47" s="135">
        <f>X47*Z47/100</f>
        <v>0</v>
      </c>
      <c r="AE47" s="137"/>
      <c r="AF47" s="135">
        <f t="shared" si="5"/>
        <v>109.34419999999999</v>
      </c>
      <c r="AG47" s="137"/>
      <c r="AH47" s="108">
        <f t="shared" si="3"/>
        <v>0</v>
      </c>
      <c r="AI47" s="145"/>
      <c r="AJ47" s="144"/>
      <c r="AK47" s="144"/>
      <c r="AL47" s="144"/>
      <c r="AM47" s="144"/>
      <c r="AN47" s="144"/>
      <c r="AO47" s="144"/>
      <c r="AP47" s="144"/>
      <c r="AQ47" s="137"/>
    </row>
    <row r="48" spans="1:44" s="1" customFormat="1" ht="15" customHeight="1" x14ac:dyDescent="0.25">
      <c r="A48" s="213"/>
      <c r="B48" s="213"/>
      <c r="C48" s="234"/>
      <c r="D48" s="234"/>
      <c r="E48" s="234"/>
      <c r="F48" s="234"/>
      <c r="G48" s="234"/>
      <c r="H48" s="234"/>
      <c r="I48" s="234"/>
      <c r="J48" s="234"/>
      <c r="K48" s="234"/>
      <c r="L48" s="234"/>
      <c r="M48" s="234"/>
      <c r="N48" s="379">
        <f>AF48-AE48</f>
        <v>0</v>
      </c>
      <c r="O48" s="234"/>
      <c r="P48" s="234"/>
      <c r="Q48" s="234"/>
      <c r="R48" s="234"/>
      <c r="S48" s="234"/>
      <c r="T48" s="234"/>
      <c r="U48" s="234"/>
      <c r="V48" s="234"/>
      <c r="W48" s="161"/>
      <c r="X48" s="137">
        <f t="shared" si="0"/>
        <v>0</v>
      </c>
      <c r="Y48" s="138" t="s">
        <v>116</v>
      </c>
      <c r="Z48" s="140"/>
      <c r="AA48" s="144"/>
      <c r="AB48" s="110"/>
      <c r="AC48" s="139"/>
      <c r="AD48" s="156">
        <f>-AE48/$D$2%</f>
        <v>0</v>
      </c>
      <c r="AE48" s="112"/>
      <c r="AF48" s="140">
        <f>AE48*AB48%</f>
        <v>0</v>
      </c>
      <c r="AG48" s="143"/>
      <c r="AH48" s="159"/>
      <c r="AI48" s="155"/>
      <c r="AJ48" s="142"/>
      <c r="AK48" s="142"/>
      <c r="AL48" s="142"/>
      <c r="AM48" s="142"/>
      <c r="AN48" s="142"/>
      <c r="AO48" s="142"/>
      <c r="AP48" s="142"/>
      <c r="AQ48" s="158"/>
    </row>
    <row r="49" spans="1:43" s="1" customFormat="1" ht="15" customHeight="1" x14ac:dyDescent="0.25">
      <c r="A49" s="213"/>
      <c r="B49" s="213"/>
      <c r="C49" s="234"/>
      <c r="D49" s="234"/>
      <c r="E49" s="234"/>
      <c r="F49" s="234"/>
      <c r="G49" s="234"/>
      <c r="H49" s="234"/>
      <c r="I49" s="234"/>
      <c r="J49" s="234"/>
      <c r="K49" s="234"/>
      <c r="L49" s="234"/>
      <c r="M49" s="234"/>
      <c r="N49" s="341"/>
      <c r="O49" s="234"/>
      <c r="P49" s="234"/>
      <c r="Q49" s="234"/>
      <c r="R49" s="234"/>
      <c r="S49" s="234"/>
      <c r="T49" s="234"/>
      <c r="U49" s="234"/>
      <c r="V49" s="234"/>
      <c r="W49" s="161"/>
      <c r="X49" s="137">
        <f t="shared" si="0"/>
        <v>0</v>
      </c>
      <c r="Y49" s="138" t="s">
        <v>117</v>
      </c>
      <c r="Z49" s="140"/>
      <c r="AA49" s="144"/>
      <c r="AB49" s="110">
        <v>100.2</v>
      </c>
      <c r="AC49" s="139"/>
      <c r="AD49" s="156">
        <f>-AE49/$D$2%</f>
        <v>0</v>
      </c>
      <c r="AE49" s="112"/>
      <c r="AF49" s="156">
        <f>AE49*AB49%</f>
        <v>0</v>
      </c>
      <c r="AG49" s="143"/>
      <c r="AH49" s="159"/>
      <c r="AI49" s="155"/>
      <c r="AJ49" s="142"/>
      <c r="AK49" s="142"/>
      <c r="AL49" s="142"/>
      <c r="AM49" s="142"/>
      <c r="AN49" s="142"/>
      <c r="AO49" s="142"/>
      <c r="AP49" s="142"/>
      <c r="AQ49" s="158"/>
    </row>
    <row r="50" spans="1:43" ht="15" customHeight="1" x14ac:dyDescent="0.25">
      <c r="A50" s="341"/>
      <c r="B50" s="341"/>
      <c r="C50" s="234"/>
      <c r="D50" s="234"/>
      <c r="E50" s="234"/>
      <c r="F50" s="234"/>
      <c r="G50" s="234"/>
      <c r="H50" s="234"/>
      <c r="I50" s="234"/>
      <c r="J50" s="234"/>
      <c r="K50" s="234"/>
      <c r="L50" s="397"/>
      <c r="M50" s="234"/>
      <c r="N50" s="213"/>
      <c r="O50" s="234"/>
      <c r="P50" s="234"/>
      <c r="Q50" s="234"/>
      <c r="R50" s="234"/>
      <c r="S50" s="234"/>
      <c r="T50" s="234"/>
      <c r="U50" s="234"/>
      <c r="V50" s="234"/>
      <c r="W50" s="161"/>
      <c r="X50" s="137">
        <f t="shared" si="0"/>
        <v>0</v>
      </c>
      <c r="Y50" s="167" t="s">
        <v>36</v>
      </c>
      <c r="Z50" s="156"/>
      <c r="AA50" s="142"/>
      <c r="AB50" s="110">
        <v>100</v>
      </c>
      <c r="AC50" s="143"/>
      <c r="AD50" s="135"/>
      <c r="AE50" s="137"/>
      <c r="AF50" s="135">
        <f t="shared" si="5"/>
        <v>0</v>
      </c>
      <c r="AG50" s="137"/>
      <c r="AH50" s="108">
        <f t="shared" si="3"/>
        <v>0</v>
      </c>
      <c r="AI50" s="145"/>
      <c r="AJ50" s="144"/>
      <c r="AK50" s="144"/>
      <c r="AL50" s="144"/>
      <c r="AM50" s="144"/>
      <c r="AN50" s="144"/>
      <c r="AO50" s="144"/>
      <c r="AP50" s="144"/>
      <c r="AQ50" s="137"/>
    </row>
    <row r="51" spans="1:43" ht="15" customHeight="1" x14ac:dyDescent="0.25">
      <c r="A51" s="341"/>
      <c r="B51" s="379"/>
      <c r="C51" s="234"/>
      <c r="D51" s="234"/>
      <c r="E51" s="397"/>
      <c r="F51" s="234"/>
      <c r="G51" s="234"/>
      <c r="H51" s="234"/>
      <c r="I51" s="397"/>
      <c r="J51" s="234"/>
      <c r="K51" s="234"/>
      <c r="L51" s="234"/>
      <c r="M51" s="234"/>
      <c r="N51" s="213"/>
      <c r="O51" s="234"/>
      <c r="P51" s="234"/>
      <c r="Q51" s="234"/>
      <c r="R51" s="397"/>
      <c r="S51" s="397"/>
      <c r="T51" s="234"/>
      <c r="U51" s="397"/>
      <c r="V51" s="234"/>
      <c r="W51" s="115"/>
      <c r="X51" s="137">
        <f t="shared" si="0"/>
        <v>0</v>
      </c>
      <c r="Y51" s="138" t="s">
        <v>31</v>
      </c>
      <c r="Z51" s="113"/>
      <c r="AA51" s="142"/>
      <c r="AB51" s="110"/>
      <c r="AC51" s="143"/>
      <c r="AD51" s="135">
        <f>X51*Z51/100</f>
        <v>0</v>
      </c>
      <c r="AE51" s="137"/>
      <c r="AF51" s="135">
        <f t="shared" si="5"/>
        <v>0</v>
      </c>
      <c r="AG51" s="137"/>
      <c r="AH51" s="108">
        <f t="shared" si="3"/>
        <v>0</v>
      </c>
      <c r="AI51" s="145"/>
      <c r="AJ51" s="144"/>
      <c r="AK51" s="144"/>
      <c r="AL51" s="144"/>
      <c r="AM51" s="144"/>
      <c r="AN51" s="144"/>
      <c r="AO51" s="144"/>
      <c r="AP51" s="144"/>
      <c r="AQ51" s="137"/>
    </row>
    <row r="52" spans="1:43" ht="15" customHeight="1" x14ac:dyDescent="0.25">
      <c r="A52" s="341"/>
      <c r="B52" s="341"/>
      <c r="C52" s="234"/>
      <c r="D52" s="234"/>
      <c r="E52" s="234"/>
      <c r="F52" s="234"/>
      <c r="G52" s="234"/>
      <c r="H52" s="234"/>
      <c r="I52" s="234"/>
      <c r="J52" s="234"/>
      <c r="K52" s="234"/>
      <c r="L52" s="234"/>
      <c r="M52" s="234"/>
      <c r="N52" s="213"/>
      <c r="O52" s="234"/>
      <c r="P52" s="234"/>
      <c r="Q52" s="234"/>
      <c r="R52" s="234"/>
      <c r="S52" s="234"/>
      <c r="T52" s="234"/>
      <c r="U52" s="234"/>
      <c r="V52" s="234"/>
      <c r="W52" s="161"/>
      <c r="X52" s="137">
        <f t="shared" si="0"/>
        <v>0</v>
      </c>
      <c r="Y52" s="138" t="s">
        <v>65</v>
      </c>
      <c r="Z52" s="156"/>
      <c r="AA52" s="142"/>
      <c r="AB52" s="142"/>
      <c r="AC52" s="112">
        <f>100-22.83</f>
        <v>77.17</v>
      </c>
      <c r="AD52" s="140"/>
      <c r="AE52" s="139"/>
      <c r="AF52" s="140">
        <f>-SUM(AF44:AF51)</f>
        <v>-163.59859999999998</v>
      </c>
      <c r="AG52" s="139">
        <f>-AF52*AC52/100</f>
        <v>126.24903961999999</v>
      </c>
      <c r="AH52" s="108">
        <f t="shared" si="3"/>
        <v>126.37528865961998</v>
      </c>
      <c r="AI52" s="111">
        <f>AG52*65.2%</f>
        <v>82.314373832239994</v>
      </c>
      <c r="AJ52" s="111">
        <f>AG52*9.9%</f>
        <v>12.49865492238</v>
      </c>
      <c r="AK52" s="110">
        <f>AG52*13.3%</f>
        <v>16.791122269460001</v>
      </c>
      <c r="AL52" s="110">
        <f>AG52*7%</f>
        <v>8.8374327733999998</v>
      </c>
      <c r="AM52" s="110">
        <f>AG52*0%</f>
        <v>0</v>
      </c>
      <c r="AN52" s="110">
        <f>AG52*3.2%</f>
        <v>4.0399692678400001</v>
      </c>
      <c r="AO52" s="110">
        <f>AG52*1.5%</f>
        <v>1.8937355942999998</v>
      </c>
      <c r="AP52" s="110"/>
      <c r="AQ52" s="137"/>
    </row>
    <row r="53" spans="1:43" ht="15" customHeight="1" x14ac:dyDescent="0.25">
      <c r="A53" s="341"/>
      <c r="B53" s="341"/>
      <c r="C53" s="234"/>
      <c r="D53" s="234"/>
      <c r="E53" s="397"/>
      <c r="F53" s="234"/>
      <c r="G53" s="234"/>
      <c r="H53" s="234"/>
      <c r="I53" s="397"/>
      <c r="J53" s="234"/>
      <c r="K53" s="234"/>
      <c r="L53" s="234"/>
      <c r="M53" s="234"/>
      <c r="N53" s="213"/>
      <c r="O53" s="397"/>
      <c r="P53" s="234"/>
      <c r="Q53" s="234"/>
      <c r="R53" s="234"/>
      <c r="S53" s="234"/>
      <c r="T53" s="397"/>
      <c r="U53" s="234"/>
      <c r="V53" s="397">
        <v>23.1</v>
      </c>
      <c r="W53" s="161"/>
      <c r="X53" s="137">
        <f t="shared" si="0"/>
        <v>23.1</v>
      </c>
      <c r="Y53" s="138" t="s">
        <v>16</v>
      </c>
      <c r="Z53" s="113">
        <v>29.3</v>
      </c>
      <c r="AA53" s="142"/>
      <c r="AB53" s="110"/>
      <c r="AC53" s="143"/>
      <c r="AD53" s="140">
        <f>X53*Z53/100</f>
        <v>6.7683</v>
      </c>
      <c r="AE53" s="139"/>
      <c r="AF53" s="140">
        <f>X53*AB53/100</f>
        <v>0</v>
      </c>
      <c r="AG53" s="139"/>
      <c r="AH53" s="108">
        <f t="shared" ref="AH53:AH80" si="6">SUM(AI53:AQ53)</f>
        <v>0</v>
      </c>
      <c r="AI53" s="145"/>
      <c r="AJ53" s="142"/>
      <c r="AK53" s="142"/>
      <c r="AL53" s="142"/>
      <c r="AM53" s="142"/>
      <c r="AN53" s="142"/>
      <c r="AO53" s="142"/>
      <c r="AP53" s="142"/>
      <c r="AQ53" s="137"/>
    </row>
    <row r="54" spans="1:43" ht="15" customHeight="1" x14ac:dyDescent="0.25">
      <c r="A54" s="341"/>
      <c r="B54" s="341"/>
      <c r="C54" s="234"/>
      <c r="D54" s="234"/>
      <c r="E54" s="234"/>
      <c r="F54" s="234"/>
      <c r="G54" s="234"/>
      <c r="H54" s="234"/>
      <c r="I54" s="397"/>
      <c r="J54" s="234"/>
      <c r="K54" s="234"/>
      <c r="L54" s="397"/>
      <c r="M54" s="234"/>
      <c r="N54" s="213"/>
      <c r="O54" s="397"/>
      <c r="P54" s="234"/>
      <c r="Q54" s="234"/>
      <c r="R54" s="234"/>
      <c r="S54" s="397"/>
      <c r="T54" s="397"/>
      <c r="U54" s="234"/>
      <c r="V54" s="234"/>
      <c r="W54" s="161"/>
      <c r="X54" s="151">
        <f t="shared" si="0"/>
        <v>0</v>
      </c>
      <c r="Y54" s="138" t="s">
        <v>17</v>
      </c>
      <c r="Z54" s="156"/>
      <c r="AA54" s="142"/>
      <c r="AB54" s="110"/>
      <c r="AC54" s="143"/>
      <c r="AD54" s="140">
        <f>X54*Z54/100</f>
        <v>0</v>
      </c>
      <c r="AE54" s="139"/>
      <c r="AF54" s="140">
        <f>X54*AB54/100</f>
        <v>0</v>
      </c>
      <c r="AG54" s="139"/>
      <c r="AH54" s="108">
        <f t="shared" si="6"/>
        <v>0</v>
      </c>
      <c r="AI54" s="145"/>
      <c r="AJ54" s="142"/>
      <c r="AK54" s="142"/>
      <c r="AL54" s="142"/>
      <c r="AM54" s="142"/>
      <c r="AN54" s="142"/>
      <c r="AO54" s="142"/>
      <c r="AP54" s="142"/>
      <c r="AQ54" s="137"/>
    </row>
    <row r="55" spans="1:43" ht="15" customHeight="1" x14ac:dyDescent="0.25">
      <c r="A55" s="341"/>
      <c r="B55" s="341"/>
      <c r="C55" s="234"/>
      <c r="D55" s="234"/>
      <c r="E55" s="234"/>
      <c r="F55" s="234"/>
      <c r="G55" s="234"/>
      <c r="H55" s="234"/>
      <c r="I55" s="234"/>
      <c r="J55" s="234"/>
      <c r="K55" s="234"/>
      <c r="L55" s="234"/>
      <c r="M55" s="234"/>
      <c r="N55" s="213"/>
      <c r="O55" s="234"/>
      <c r="P55" s="234"/>
      <c r="Q55" s="234"/>
      <c r="R55" s="234"/>
      <c r="S55" s="234"/>
      <c r="T55" s="234"/>
      <c r="U55" s="234"/>
      <c r="V55" s="234"/>
      <c r="W55" s="161"/>
      <c r="X55" s="151">
        <f t="shared" si="0"/>
        <v>0</v>
      </c>
      <c r="Y55" s="138" t="s">
        <v>66</v>
      </c>
      <c r="Z55" s="156"/>
      <c r="AA55" s="142"/>
      <c r="AB55" s="142"/>
      <c r="AC55" s="112">
        <f>100-22.83</f>
        <v>77.17</v>
      </c>
      <c r="AD55" s="140"/>
      <c r="AE55" s="139"/>
      <c r="AF55" s="140">
        <f>-SUM(AF53:AF54)</f>
        <v>0</v>
      </c>
      <c r="AG55" s="139">
        <f>-AF55*AC55/100</f>
        <v>0</v>
      </c>
      <c r="AH55" s="108">
        <f t="shared" si="6"/>
        <v>0</v>
      </c>
      <c r="AI55" s="111">
        <f>AG55*65.2%</f>
        <v>0</v>
      </c>
      <c r="AJ55" s="111">
        <f>AG55*9.9%</f>
        <v>0</v>
      </c>
      <c r="AK55" s="110">
        <f>AG55*13.3%</f>
        <v>0</v>
      </c>
      <c r="AL55" s="110">
        <f>AG55*7%</f>
        <v>0</v>
      </c>
      <c r="AM55" s="110">
        <f>AG55*0%</f>
        <v>0</v>
      </c>
      <c r="AN55" s="110">
        <f>AG55*3.2%</f>
        <v>0</v>
      </c>
      <c r="AO55" s="110">
        <f>AG55*1.5%</f>
        <v>0</v>
      </c>
      <c r="AP55" s="110"/>
      <c r="AQ55" s="137"/>
    </row>
    <row r="56" spans="1:43" ht="15" customHeight="1" x14ac:dyDescent="0.25">
      <c r="A56" s="341"/>
      <c r="B56" s="341"/>
      <c r="C56" s="234"/>
      <c r="D56" s="397"/>
      <c r="E56" s="397">
        <v>7.5</v>
      </c>
      <c r="F56" s="234"/>
      <c r="G56" s="234"/>
      <c r="H56" s="234"/>
      <c r="I56" s="397">
        <v>18.600000000000001</v>
      </c>
      <c r="J56" s="234"/>
      <c r="K56" s="234"/>
      <c r="L56" s="234"/>
      <c r="M56" s="234"/>
      <c r="N56" s="213"/>
      <c r="O56" s="397"/>
      <c r="P56" s="397"/>
      <c r="Q56" s="397">
        <v>59.3</v>
      </c>
      <c r="R56" s="397"/>
      <c r="S56" s="397"/>
      <c r="T56" s="397"/>
      <c r="U56" s="234"/>
      <c r="V56" s="234"/>
      <c r="W56" s="161"/>
      <c r="X56" s="151">
        <f t="shared" si="0"/>
        <v>85.4</v>
      </c>
      <c r="Y56" s="138" t="s">
        <v>28</v>
      </c>
      <c r="Z56" s="156"/>
      <c r="AA56" s="142"/>
      <c r="AB56" s="110">
        <v>89.9</v>
      </c>
      <c r="AC56" s="143"/>
      <c r="AD56" s="140"/>
      <c r="AE56" s="139"/>
      <c r="AF56" s="140">
        <f>X56*AB56/100</f>
        <v>76.774600000000007</v>
      </c>
      <c r="AG56" s="139"/>
      <c r="AH56" s="108">
        <f t="shared" si="6"/>
        <v>0</v>
      </c>
      <c r="AI56" s="145"/>
      <c r="AJ56" s="144"/>
      <c r="AK56" s="144"/>
      <c r="AL56" s="144"/>
      <c r="AM56" s="144"/>
      <c r="AN56" s="144"/>
      <c r="AO56" s="144"/>
      <c r="AP56" s="144"/>
      <c r="AQ56" s="137"/>
    </row>
    <row r="57" spans="1:43" ht="15" customHeight="1" x14ac:dyDescent="0.25">
      <c r="A57" s="341"/>
      <c r="B57" s="341"/>
      <c r="C57" s="373"/>
      <c r="D57" s="373"/>
      <c r="E57" s="373"/>
      <c r="F57" s="373"/>
      <c r="G57" s="373"/>
      <c r="H57" s="373"/>
      <c r="I57" s="373"/>
      <c r="J57" s="373"/>
      <c r="K57" s="373"/>
      <c r="L57" s="373"/>
      <c r="M57" s="373"/>
      <c r="N57" s="379">
        <f>AF57-AE57</f>
        <v>0</v>
      </c>
      <c r="O57" s="373"/>
      <c r="P57" s="373"/>
      <c r="Q57" s="373"/>
      <c r="R57" s="373"/>
      <c r="S57" s="373"/>
      <c r="T57" s="373"/>
      <c r="U57" s="373"/>
      <c r="V57" s="373"/>
      <c r="W57" s="169"/>
      <c r="X57" s="151">
        <f t="shared" si="0"/>
        <v>0</v>
      </c>
      <c r="Y57" s="138" t="s">
        <v>120</v>
      </c>
      <c r="Z57" s="140"/>
      <c r="AA57" s="144"/>
      <c r="AB57" s="110"/>
      <c r="AC57" s="139"/>
      <c r="AD57" s="140">
        <f>-AE57/$D$2%</f>
        <v>0</v>
      </c>
      <c r="AE57" s="112"/>
      <c r="AF57" s="140">
        <f>AE57*AB57%</f>
        <v>0</v>
      </c>
      <c r="AG57" s="137"/>
      <c r="AH57" s="108"/>
      <c r="AI57" s="145"/>
      <c r="AJ57" s="144"/>
      <c r="AK57" s="144"/>
      <c r="AL57" s="144"/>
      <c r="AM57" s="144"/>
      <c r="AN57" s="144"/>
      <c r="AO57" s="144"/>
      <c r="AP57" s="144"/>
      <c r="AQ57" s="137"/>
    </row>
    <row r="58" spans="1:43" ht="15" customHeight="1" x14ac:dyDescent="0.25">
      <c r="A58" s="341"/>
      <c r="B58" s="341"/>
      <c r="C58" s="373"/>
      <c r="D58" s="373"/>
      <c r="E58" s="373"/>
      <c r="F58" s="373"/>
      <c r="G58" s="373"/>
      <c r="H58" s="373"/>
      <c r="I58" s="373"/>
      <c r="J58" s="373"/>
      <c r="K58" s="373"/>
      <c r="L58" s="373"/>
      <c r="M58" s="373"/>
      <c r="N58" s="373"/>
      <c r="O58" s="373"/>
      <c r="P58" s="373"/>
      <c r="Q58" s="373"/>
      <c r="R58" s="373"/>
      <c r="S58" s="373"/>
      <c r="T58" s="373"/>
      <c r="U58" s="373"/>
      <c r="V58" s="373"/>
      <c r="W58" s="169"/>
      <c r="X58" s="151">
        <f t="shared" si="0"/>
        <v>0</v>
      </c>
      <c r="Y58" s="138" t="s">
        <v>118</v>
      </c>
      <c r="Z58" s="140"/>
      <c r="AA58" s="144"/>
      <c r="AB58" s="110">
        <v>100</v>
      </c>
      <c r="AC58" s="139"/>
      <c r="AD58" s="140">
        <f>-AE58/$D$2%</f>
        <v>0</v>
      </c>
      <c r="AE58" s="112"/>
      <c r="AF58" s="156">
        <f>X58*AB58/100</f>
        <v>0</v>
      </c>
      <c r="AG58" s="139"/>
      <c r="AH58" s="108"/>
      <c r="AI58" s="145"/>
      <c r="AJ58" s="144"/>
      <c r="AK58" s="144"/>
      <c r="AL58" s="144"/>
      <c r="AM58" s="144"/>
      <c r="AN58" s="144"/>
      <c r="AO58" s="144"/>
      <c r="AP58" s="144"/>
      <c r="AQ58" s="137"/>
    </row>
    <row r="59" spans="1:43" ht="15" customHeight="1" x14ac:dyDescent="0.25">
      <c r="A59" s="341"/>
      <c r="B59" s="341"/>
      <c r="C59" s="373"/>
      <c r="D59" s="373"/>
      <c r="E59" s="373"/>
      <c r="F59" s="373"/>
      <c r="G59" s="373"/>
      <c r="H59" s="373"/>
      <c r="I59" s="373"/>
      <c r="J59" s="373"/>
      <c r="K59" s="373"/>
      <c r="L59" s="373"/>
      <c r="M59" s="373"/>
      <c r="N59" s="373"/>
      <c r="O59" s="373"/>
      <c r="P59" s="373"/>
      <c r="Q59" s="373"/>
      <c r="R59" s="373"/>
      <c r="S59" s="373"/>
      <c r="T59" s="373"/>
      <c r="U59" s="373"/>
      <c r="V59" s="373"/>
      <c r="W59" s="169"/>
      <c r="X59" s="151">
        <f t="shared" si="0"/>
        <v>0</v>
      </c>
      <c r="Y59" s="138" t="s">
        <v>119</v>
      </c>
      <c r="Z59" s="140"/>
      <c r="AA59" s="144"/>
      <c r="AB59" s="144"/>
      <c r="AC59" s="139"/>
      <c r="AD59" s="140"/>
      <c r="AE59" s="139"/>
      <c r="AF59" s="140">
        <f>X59*AB59/100</f>
        <v>0</v>
      </c>
      <c r="AG59" s="139"/>
      <c r="AH59" s="108"/>
      <c r="AI59" s="145"/>
      <c r="AJ59" s="144"/>
      <c r="AK59" s="144"/>
      <c r="AL59" s="144"/>
      <c r="AM59" s="144"/>
      <c r="AN59" s="144"/>
      <c r="AO59" s="144"/>
      <c r="AP59" s="144"/>
      <c r="AQ59" s="137"/>
    </row>
    <row r="60" spans="1:43" ht="15" customHeight="1" x14ac:dyDescent="0.25">
      <c r="A60" s="341"/>
      <c r="B60" s="341"/>
      <c r="C60" s="234"/>
      <c r="D60" s="234"/>
      <c r="E60" s="234"/>
      <c r="F60" s="234"/>
      <c r="G60" s="234"/>
      <c r="H60" s="234"/>
      <c r="I60" s="235"/>
      <c r="J60" s="234"/>
      <c r="K60" s="234"/>
      <c r="L60" s="397">
        <v>21.8</v>
      </c>
      <c r="M60" s="234"/>
      <c r="N60" s="234"/>
      <c r="O60" s="234"/>
      <c r="P60" s="234"/>
      <c r="Q60" s="234"/>
      <c r="R60" s="234"/>
      <c r="S60" s="234"/>
      <c r="T60" s="234"/>
      <c r="U60" s="234"/>
      <c r="V60" s="234"/>
      <c r="W60" s="161"/>
      <c r="X60" s="151">
        <f t="shared" si="0"/>
        <v>21.8</v>
      </c>
      <c r="Y60" s="138" t="s">
        <v>255</v>
      </c>
      <c r="Z60" s="156"/>
      <c r="AA60" s="142"/>
      <c r="AB60" s="110">
        <v>100</v>
      </c>
      <c r="AC60" s="143"/>
      <c r="AD60" s="140"/>
      <c r="AE60" s="139"/>
      <c r="AF60" s="140">
        <f>X60*AB60/100</f>
        <v>21.8</v>
      </c>
      <c r="AG60" s="139"/>
      <c r="AH60" s="108">
        <f t="shared" si="6"/>
        <v>0</v>
      </c>
      <c r="AI60" s="145"/>
      <c r="AJ60" s="144"/>
      <c r="AK60" s="144"/>
      <c r="AL60" s="144"/>
      <c r="AM60" s="144"/>
      <c r="AN60" s="144"/>
      <c r="AO60" s="144"/>
      <c r="AP60" s="144"/>
      <c r="AQ60" s="137"/>
    </row>
    <row r="61" spans="1:43" ht="15" customHeight="1" x14ac:dyDescent="0.25">
      <c r="A61" s="348"/>
      <c r="B61" s="341"/>
      <c r="C61" s="234"/>
      <c r="D61" s="234"/>
      <c r="E61" s="234"/>
      <c r="F61" s="234"/>
      <c r="G61" s="234"/>
      <c r="H61" s="234"/>
      <c r="I61" s="234"/>
      <c r="J61" s="234"/>
      <c r="K61" s="234"/>
      <c r="L61" s="234"/>
      <c r="M61" s="234"/>
      <c r="N61" s="234"/>
      <c r="O61" s="234"/>
      <c r="P61" s="234"/>
      <c r="Q61" s="234"/>
      <c r="R61" s="234"/>
      <c r="S61" s="234"/>
      <c r="T61" s="234"/>
      <c r="U61" s="234"/>
      <c r="V61" s="234"/>
      <c r="W61" s="161"/>
      <c r="X61" s="151">
        <f t="shared" si="0"/>
        <v>0</v>
      </c>
      <c r="Y61" s="138" t="s">
        <v>37</v>
      </c>
      <c r="Z61" s="156"/>
      <c r="AA61" s="142"/>
      <c r="AB61" s="142"/>
      <c r="AC61" s="143"/>
      <c r="AD61" s="140">
        <f>X61*Z61%</f>
        <v>0</v>
      </c>
      <c r="AE61" s="139"/>
      <c r="AF61" s="140">
        <f>X61*AB61%</f>
        <v>0</v>
      </c>
      <c r="AG61" s="139"/>
      <c r="AH61" s="108">
        <f t="shared" si="6"/>
        <v>0</v>
      </c>
      <c r="AI61" s="145"/>
      <c r="AJ61" s="144"/>
      <c r="AK61" s="144"/>
      <c r="AL61" s="144"/>
      <c r="AM61" s="144"/>
      <c r="AN61" s="144"/>
      <c r="AO61" s="144"/>
      <c r="AP61" s="144"/>
      <c r="AQ61" s="137"/>
    </row>
    <row r="62" spans="1:43" ht="15" customHeight="1" x14ac:dyDescent="0.25">
      <c r="A62" s="341"/>
      <c r="B62" s="341"/>
      <c r="C62" s="234"/>
      <c r="D62" s="234"/>
      <c r="E62" s="234"/>
      <c r="F62" s="234"/>
      <c r="G62" s="234"/>
      <c r="H62" s="234"/>
      <c r="I62" s="235"/>
      <c r="J62" s="234"/>
      <c r="K62" s="234"/>
      <c r="L62" s="234"/>
      <c r="M62" s="234"/>
      <c r="N62" s="234"/>
      <c r="O62" s="234"/>
      <c r="P62" s="234"/>
      <c r="Q62" s="234"/>
      <c r="R62" s="234"/>
      <c r="S62" s="234"/>
      <c r="T62" s="234"/>
      <c r="U62" s="234"/>
      <c r="V62" s="234"/>
      <c r="W62" s="160"/>
      <c r="X62" s="151">
        <f t="shared" si="0"/>
        <v>0</v>
      </c>
      <c r="Y62" s="138" t="s">
        <v>115</v>
      </c>
      <c r="Z62" s="156"/>
      <c r="AA62" s="142"/>
      <c r="AB62" s="142"/>
      <c r="AC62" s="112">
        <f>100-22.83</f>
        <v>77.17</v>
      </c>
      <c r="AD62" s="140"/>
      <c r="AE62" s="139"/>
      <c r="AF62" s="157">
        <f>-SUM(AF56:AF61)</f>
        <v>-98.574600000000004</v>
      </c>
      <c r="AG62" s="139">
        <f>-AF62*AC62/100</f>
        <v>76.070018820000001</v>
      </c>
      <c r="AH62" s="108">
        <f t="shared" si="6"/>
        <v>76.146088838820006</v>
      </c>
      <c r="AI62" s="111">
        <f>AG62*65.2%</f>
        <v>49.597652270640005</v>
      </c>
      <c r="AJ62" s="111">
        <f>AG62*9.9%</f>
        <v>7.5309318631800002</v>
      </c>
      <c r="AK62" s="110">
        <f>AG62*13.3%</f>
        <v>10.117312503060001</v>
      </c>
      <c r="AL62" s="110">
        <f>AG62*7%</f>
        <v>5.3249013174000002</v>
      </c>
      <c r="AM62" s="110">
        <f>AG62*0%</f>
        <v>0</v>
      </c>
      <c r="AN62" s="110">
        <f>AG62*3.2%</f>
        <v>2.4342406022400001</v>
      </c>
      <c r="AO62" s="110">
        <f>AG62*1.5%</f>
        <v>1.1410502822999999</v>
      </c>
      <c r="AP62" s="110"/>
      <c r="AQ62" s="137"/>
    </row>
    <row r="63" spans="1:43" ht="15" customHeight="1" x14ac:dyDescent="0.25">
      <c r="A63" s="341"/>
      <c r="B63" s="341"/>
      <c r="C63" s="234"/>
      <c r="D63" s="397"/>
      <c r="E63" s="234"/>
      <c r="F63" s="234"/>
      <c r="G63" s="234"/>
      <c r="H63" s="234"/>
      <c r="I63" s="234"/>
      <c r="J63" s="234"/>
      <c r="K63" s="234"/>
      <c r="L63" s="234"/>
      <c r="M63" s="234"/>
      <c r="N63" s="234"/>
      <c r="O63" s="234"/>
      <c r="P63" s="397"/>
      <c r="Q63" s="234"/>
      <c r="R63" s="234"/>
      <c r="S63" s="397"/>
      <c r="T63" s="234"/>
      <c r="U63" s="397"/>
      <c r="V63" s="234"/>
      <c r="W63" s="115"/>
      <c r="X63" s="151">
        <f t="shared" si="0"/>
        <v>0</v>
      </c>
      <c r="Y63" s="138" t="s">
        <v>20</v>
      </c>
      <c r="Z63" s="113"/>
      <c r="AA63" s="142"/>
      <c r="AB63" s="110"/>
      <c r="AC63" s="143"/>
      <c r="AD63" s="135">
        <f t="shared" ref="AD63:AD68" si="7">Z63/100*X63</f>
        <v>0</v>
      </c>
      <c r="AE63" s="137"/>
      <c r="AF63" s="135">
        <f>X63*AB63/100</f>
        <v>0</v>
      </c>
      <c r="AG63" s="137"/>
      <c r="AH63" s="108">
        <f t="shared" si="6"/>
        <v>0</v>
      </c>
      <c r="AI63" s="145"/>
      <c r="AJ63" s="144"/>
      <c r="AK63" s="144"/>
      <c r="AL63" s="144"/>
      <c r="AM63" s="144"/>
      <c r="AN63" s="144"/>
      <c r="AO63" s="144"/>
      <c r="AP63" s="144"/>
      <c r="AQ63" s="137"/>
    </row>
    <row r="64" spans="1:43" ht="15" customHeight="1" x14ac:dyDescent="0.25">
      <c r="A64" s="341"/>
      <c r="B64" s="341"/>
      <c r="C64" s="234"/>
      <c r="D64" s="234"/>
      <c r="E64" s="234"/>
      <c r="F64" s="234"/>
      <c r="G64" s="234"/>
      <c r="H64" s="234"/>
      <c r="I64" s="397"/>
      <c r="J64" s="234"/>
      <c r="K64" s="234"/>
      <c r="L64" s="234"/>
      <c r="M64" s="234"/>
      <c r="N64" s="234"/>
      <c r="O64" s="397"/>
      <c r="P64" s="234"/>
      <c r="Q64" s="234"/>
      <c r="R64" s="234"/>
      <c r="S64" s="234"/>
      <c r="T64" s="397"/>
      <c r="U64" s="234"/>
      <c r="V64" s="234"/>
      <c r="W64" s="160"/>
      <c r="X64" s="151">
        <f t="shared" si="0"/>
        <v>0</v>
      </c>
      <c r="Y64" s="138" t="s">
        <v>21</v>
      </c>
      <c r="Z64" s="113"/>
      <c r="AA64" s="142"/>
      <c r="AB64" s="110"/>
      <c r="AC64" s="143"/>
      <c r="AD64" s="135">
        <f t="shared" si="7"/>
        <v>0</v>
      </c>
      <c r="AE64" s="137"/>
      <c r="AF64" s="135">
        <f>X64*AB64/100</f>
        <v>0</v>
      </c>
      <c r="AG64" s="137"/>
      <c r="AH64" s="108">
        <f t="shared" si="6"/>
        <v>0</v>
      </c>
      <c r="AI64" s="145"/>
      <c r="AJ64" s="144"/>
      <c r="AK64" s="144"/>
      <c r="AL64" s="144"/>
      <c r="AM64" s="144"/>
      <c r="AN64" s="144"/>
      <c r="AO64" s="144"/>
      <c r="AP64" s="144"/>
      <c r="AQ64" s="137"/>
    </row>
    <row r="65" spans="1:43" ht="15" customHeight="1" x14ac:dyDescent="0.25">
      <c r="A65" s="341"/>
      <c r="B65" s="341"/>
      <c r="C65" s="234"/>
      <c r="D65" s="234"/>
      <c r="E65" s="397"/>
      <c r="F65" s="234"/>
      <c r="G65" s="234"/>
      <c r="H65" s="234"/>
      <c r="I65" s="397"/>
      <c r="J65" s="234"/>
      <c r="K65" s="234"/>
      <c r="L65" s="234"/>
      <c r="M65" s="234"/>
      <c r="N65" s="234"/>
      <c r="O65" s="234"/>
      <c r="P65" s="234"/>
      <c r="Q65" s="234"/>
      <c r="R65" s="234"/>
      <c r="S65" s="234"/>
      <c r="T65" s="234"/>
      <c r="U65" s="234"/>
      <c r="V65" s="234"/>
      <c r="W65" s="160"/>
      <c r="X65" s="151">
        <f t="shared" si="0"/>
        <v>0</v>
      </c>
      <c r="Y65" s="138" t="s">
        <v>22</v>
      </c>
      <c r="Z65" s="113"/>
      <c r="AA65" s="142"/>
      <c r="AB65" s="110"/>
      <c r="AC65" s="143"/>
      <c r="AD65" s="135">
        <f t="shared" si="7"/>
        <v>0</v>
      </c>
      <c r="AE65" s="137"/>
      <c r="AF65" s="135">
        <f>X65*AB65/100</f>
        <v>0</v>
      </c>
      <c r="AG65" s="137"/>
      <c r="AH65" s="108">
        <f t="shared" si="6"/>
        <v>0</v>
      </c>
      <c r="AI65" s="145"/>
      <c r="AJ65" s="144"/>
      <c r="AK65" s="144"/>
      <c r="AL65" s="144"/>
      <c r="AM65" s="144"/>
      <c r="AN65" s="144"/>
      <c r="AO65" s="144"/>
      <c r="AP65" s="144"/>
      <c r="AQ65" s="137"/>
    </row>
    <row r="66" spans="1:43" ht="15" customHeight="1" x14ac:dyDescent="0.25">
      <c r="A66" s="341"/>
      <c r="B66" s="341"/>
      <c r="C66" s="341"/>
      <c r="D66" s="341"/>
      <c r="E66" s="379"/>
      <c r="F66" s="341"/>
      <c r="G66" s="341"/>
      <c r="H66" s="341"/>
      <c r="I66" s="379"/>
      <c r="J66" s="341"/>
      <c r="K66" s="341"/>
      <c r="L66" s="341"/>
      <c r="M66" s="341"/>
      <c r="N66" s="341"/>
      <c r="O66" s="379"/>
      <c r="P66" s="341"/>
      <c r="Q66" s="341"/>
      <c r="R66" s="379"/>
      <c r="S66" s="379"/>
      <c r="T66" s="379"/>
      <c r="U66" s="379"/>
      <c r="V66" s="341"/>
      <c r="W66" s="110"/>
      <c r="X66" s="151">
        <f t="shared" si="0"/>
        <v>0</v>
      </c>
      <c r="Y66" s="138" t="s">
        <v>23</v>
      </c>
      <c r="Z66" s="156"/>
      <c r="AA66" s="142"/>
      <c r="AB66" s="110"/>
      <c r="AC66" s="143"/>
      <c r="AD66" s="135">
        <f t="shared" si="7"/>
        <v>0</v>
      </c>
      <c r="AE66" s="137"/>
      <c r="AF66" s="135">
        <f>X66*AB66/100</f>
        <v>0</v>
      </c>
      <c r="AG66" s="137"/>
      <c r="AH66" s="108">
        <f t="shared" si="6"/>
        <v>0</v>
      </c>
      <c r="AI66" s="145"/>
      <c r="AJ66" s="144"/>
      <c r="AK66" s="144"/>
      <c r="AL66" s="144"/>
      <c r="AM66" s="144"/>
      <c r="AN66" s="144"/>
      <c r="AO66" s="144"/>
      <c r="AP66" s="144"/>
      <c r="AQ66" s="137"/>
    </row>
    <row r="67" spans="1:43" ht="15" customHeight="1" x14ac:dyDescent="0.25">
      <c r="A67" s="341"/>
      <c r="B67" s="341"/>
      <c r="C67" s="341"/>
      <c r="D67" s="341"/>
      <c r="E67" s="341"/>
      <c r="F67" s="341"/>
      <c r="G67" s="341"/>
      <c r="H67" s="341"/>
      <c r="I67" s="341"/>
      <c r="J67" s="341"/>
      <c r="K67" s="341"/>
      <c r="L67" s="341"/>
      <c r="M67" s="341"/>
      <c r="N67" s="341"/>
      <c r="O67" s="341"/>
      <c r="P67" s="341"/>
      <c r="Q67" s="341"/>
      <c r="R67" s="341"/>
      <c r="S67" s="341"/>
      <c r="T67" s="341"/>
      <c r="U67" s="341"/>
      <c r="V67" s="341"/>
      <c r="W67" s="136"/>
      <c r="X67" s="151">
        <f t="shared" si="0"/>
        <v>0</v>
      </c>
      <c r="Y67" s="138" t="s">
        <v>24</v>
      </c>
      <c r="Z67" s="156"/>
      <c r="AA67" s="142"/>
      <c r="AB67" s="142"/>
      <c r="AC67" s="143"/>
      <c r="AD67" s="135">
        <f t="shared" si="7"/>
        <v>0</v>
      </c>
      <c r="AE67" s="137"/>
      <c r="AF67" s="135">
        <f>X67*AB67/100</f>
        <v>0</v>
      </c>
      <c r="AG67" s="137"/>
      <c r="AH67" s="108">
        <f t="shared" si="6"/>
        <v>0</v>
      </c>
      <c r="AI67" s="145"/>
      <c r="AJ67" s="144"/>
      <c r="AK67" s="144"/>
      <c r="AL67" s="144"/>
      <c r="AM67" s="144"/>
      <c r="AN67" s="144"/>
      <c r="AO67" s="144"/>
      <c r="AP67" s="144"/>
      <c r="AQ67" s="137"/>
    </row>
    <row r="68" spans="1:43" ht="15" customHeight="1" x14ac:dyDescent="0.25">
      <c r="A68" s="341"/>
      <c r="B68" s="341"/>
      <c r="C68" s="341"/>
      <c r="D68" s="341"/>
      <c r="E68" s="341"/>
      <c r="F68" s="341"/>
      <c r="G68" s="341"/>
      <c r="H68" s="341"/>
      <c r="I68" s="341"/>
      <c r="J68" s="341"/>
      <c r="K68" s="341"/>
      <c r="L68" s="341"/>
      <c r="M68" s="341"/>
      <c r="N68" s="341"/>
      <c r="O68" s="341"/>
      <c r="P68" s="341"/>
      <c r="Q68" s="341"/>
      <c r="R68" s="379"/>
      <c r="S68" s="341"/>
      <c r="T68" s="341"/>
      <c r="U68" s="341"/>
      <c r="V68" s="341"/>
      <c r="W68" s="136"/>
      <c r="X68" s="151">
        <f t="shared" si="0"/>
        <v>0</v>
      </c>
      <c r="Y68" s="138" t="s">
        <v>25</v>
      </c>
      <c r="Z68" s="156"/>
      <c r="AA68" s="142"/>
      <c r="AB68" s="142">
        <v>100</v>
      </c>
      <c r="AC68" s="143"/>
      <c r="AD68" s="135">
        <f t="shared" si="7"/>
        <v>0</v>
      </c>
      <c r="AE68" s="112"/>
      <c r="AF68" s="140"/>
      <c r="AG68" s="137"/>
      <c r="AH68" s="108">
        <f t="shared" si="6"/>
        <v>0</v>
      </c>
      <c r="AI68" s="145"/>
      <c r="AJ68" s="144"/>
      <c r="AK68" s="144"/>
      <c r="AL68" s="144"/>
      <c r="AM68" s="144"/>
      <c r="AN68" s="144"/>
      <c r="AO68" s="144"/>
      <c r="AP68" s="144"/>
      <c r="AQ68" s="137"/>
    </row>
    <row r="69" spans="1:43" ht="15" customHeight="1" x14ac:dyDescent="0.25">
      <c r="A69" s="341"/>
      <c r="B69" s="341"/>
      <c r="C69" s="341"/>
      <c r="D69" s="341"/>
      <c r="E69" s="341"/>
      <c r="F69" s="341"/>
      <c r="G69" s="341"/>
      <c r="H69" s="341"/>
      <c r="I69" s="341"/>
      <c r="J69" s="341"/>
      <c r="K69" s="341"/>
      <c r="L69" s="341"/>
      <c r="M69" s="341"/>
      <c r="N69" s="341"/>
      <c r="O69" s="341"/>
      <c r="P69" s="341"/>
      <c r="Q69" s="341"/>
      <c r="R69" s="341"/>
      <c r="S69" s="341"/>
      <c r="T69" s="341"/>
      <c r="U69" s="341"/>
      <c r="V69" s="341"/>
      <c r="W69" s="136"/>
      <c r="X69" s="151">
        <f t="shared" si="0"/>
        <v>0</v>
      </c>
      <c r="Y69" s="167" t="s">
        <v>26</v>
      </c>
      <c r="Z69" s="157"/>
      <c r="AA69" s="163"/>
      <c r="AB69" s="163"/>
      <c r="AC69" s="172"/>
      <c r="AD69" s="135">
        <f>-AE69</f>
        <v>0</v>
      </c>
      <c r="AE69" s="143">
        <f>0+0+0+0</f>
        <v>0</v>
      </c>
      <c r="AF69" s="156"/>
      <c r="AG69" s="137"/>
      <c r="AH69" s="108">
        <f t="shared" si="6"/>
        <v>0</v>
      </c>
      <c r="AI69" s="145"/>
      <c r="AJ69" s="144"/>
      <c r="AK69" s="144"/>
      <c r="AL69" s="144"/>
      <c r="AM69" s="144"/>
      <c r="AN69" s="144">
        <f>AE69</f>
        <v>0</v>
      </c>
      <c r="AO69" s="144"/>
      <c r="AP69" s="144"/>
      <c r="AQ69" s="137"/>
    </row>
    <row r="70" spans="1:43" ht="15" customHeight="1" x14ac:dyDescent="0.25">
      <c r="A70" s="341"/>
      <c r="B70" s="341"/>
      <c r="C70" s="341"/>
      <c r="D70" s="341"/>
      <c r="E70" s="341"/>
      <c r="F70" s="341"/>
      <c r="G70" s="341"/>
      <c r="H70" s="341"/>
      <c r="I70" s="341"/>
      <c r="J70" s="341"/>
      <c r="K70" s="341"/>
      <c r="L70" s="341"/>
      <c r="M70" s="341"/>
      <c r="N70" s="341"/>
      <c r="O70" s="341"/>
      <c r="P70" s="341"/>
      <c r="Q70" s="341"/>
      <c r="R70" s="341"/>
      <c r="S70" s="341"/>
      <c r="T70" s="341"/>
      <c r="U70" s="341"/>
      <c r="V70" s="341"/>
      <c r="W70" s="136"/>
      <c r="X70" s="151">
        <f t="shared" si="0"/>
        <v>0</v>
      </c>
      <c r="Y70" s="167" t="s">
        <v>27</v>
      </c>
      <c r="Z70" s="157"/>
      <c r="AA70" s="163"/>
      <c r="AB70" s="163"/>
      <c r="AC70" s="143"/>
      <c r="AD70" s="135"/>
      <c r="AE70" s="143"/>
      <c r="AF70" s="156">
        <f>0-0-0-0</f>
        <v>0</v>
      </c>
      <c r="AG70" s="173"/>
      <c r="AH70" s="108">
        <f t="shared" si="6"/>
        <v>0</v>
      </c>
      <c r="AI70" s="145"/>
      <c r="AJ70" s="144"/>
      <c r="AK70" s="144"/>
      <c r="AL70" s="144"/>
      <c r="AM70" s="144"/>
      <c r="AN70" s="144">
        <f>-AF70</f>
        <v>0</v>
      </c>
      <c r="AO70" s="144"/>
      <c r="AP70" s="144"/>
      <c r="AQ70" s="137"/>
    </row>
    <row r="71" spans="1:43" ht="15" customHeight="1" x14ac:dyDescent="0.25">
      <c r="A71" s="341"/>
      <c r="B71" s="341"/>
      <c r="C71" s="341"/>
      <c r="D71" s="341"/>
      <c r="E71" s="341"/>
      <c r="F71" s="341"/>
      <c r="G71" s="341"/>
      <c r="H71" s="341"/>
      <c r="I71" s="341"/>
      <c r="J71" s="341"/>
      <c r="K71" s="341"/>
      <c r="L71" s="341"/>
      <c r="M71" s="341"/>
      <c r="N71" s="341"/>
      <c r="O71" s="341"/>
      <c r="P71" s="341"/>
      <c r="Q71" s="341"/>
      <c r="R71" s="341"/>
      <c r="S71" s="341"/>
      <c r="T71" s="341"/>
      <c r="U71" s="341"/>
      <c r="V71" s="341"/>
      <c r="W71" s="136"/>
      <c r="X71" s="151">
        <f t="shared" si="0"/>
        <v>0</v>
      </c>
      <c r="Y71" s="138" t="s">
        <v>67</v>
      </c>
      <c r="Z71" s="157"/>
      <c r="AA71" s="163"/>
      <c r="AB71" s="163"/>
      <c r="AC71" s="112">
        <f>100-22.83</f>
        <v>77.17</v>
      </c>
      <c r="AD71" s="135"/>
      <c r="AE71" s="137"/>
      <c r="AF71" s="135">
        <f>-SUM(AF63:AF70)</f>
        <v>0</v>
      </c>
      <c r="AG71" s="137">
        <f>-AF71*AC71/100</f>
        <v>0</v>
      </c>
      <c r="AH71" s="108">
        <f t="shared" si="6"/>
        <v>0</v>
      </c>
      <c r="AI71" s="111">
        <f>AG71*65.2%</f>
        <v>0</v>
      </c>
      <c r="AJ71" s="111">
        <f>AG71*9.9%</f>
        <v>0</v>
      </c>
      <c r="AK71" s="110">
        <f>AG71*13.3%</f>
        <v>0</v>
      </c>
      <c r="AL71" s="110">
        <f>AG71*7%</f>
        <v>0</v>
      </c>
      <c r="AM71" s="110">
        <f>AG71*0%</f>
        <v>0</v>
      </c>
      <c r="AN71" s="110">
        <f>AG71*3.2%</f>
        <v>0</v>
      </c>
      <c r="AO71" s="110">
        <f>AG71*1.5%</f>
        <v>0</v>
      </c>
      <c r="AP71" s="110"/>
      <c r="AQ71" s="137"/>
    </row>
    <row r="72" spans="1:43" ht="15" customHeight="1" x14ac:dyDescent="0.25">
      <c r="A72" s="348"/>
      <c r="B72" s="341"/>
      <c r="C72" s="341"/>
      <c r="D72" s="341"/>
      <c r="E72" s="341"/>
      <c r="F72" s="213"/>
      <c r="G72" s="213"/>
      <c r="H72" s="379">
        <f>1027.7*(100%-3.1%)</f>
        <v>995.84130000000005</v>
      </c>
      <c r="I72" s="213"/>
      <c r="J72" s="213"/>
      <c r="K72" s="213"/>
      <c r="L72" s="213"/>
      <c r="M72" s="213"/>
      <c r="N72" s="213"/>
      <c r="O72" s="213"/>
      <c r="P72" s="379">
        <f>1027.7*3.1%</f>
        <v>31.858700000000002</v>
      </c>
      <c r="Q72" s="341"/>
      <c r="R72" s="341"/>
      <c r="S72" s="341"/>
      <c r="T72" s="341"/>
      <c r="U72" s="341"/>
      <c r="V72" s="341"/>
      <c r="W72" s="136"/>
      <c r="X72" s="151">
        <f t="shared" si="0"/>
        <v>1027.7</v>
      </c>
      <c r="Y72" s="138" t="s">
        <v>68</v>
      </c>
      <c r="Z72" s="135"/>
      <c r="AA72" s="136">
        <v>20</v>
      </c>
      <c r="AB72" s="136"/>
      <c r="AC72" s="137"/>
      <c r="AD72" s="135"/>
      <c r="AE72" s="137"/>
      <c r="AF72" s="135"/>
      <c r="AG72" s="137"/>
      <c r="AH72" s="108">
        <f t="shared" si="6"/>
        <v>205.54</v>
      </c>
      <c r="AI72" s="153"/>
      <c r="AJ72" s="136"/>
      <c r="AK72" s="136"/>
      <c r="AL72" s="136"/>
      <c r="AM72" s="136"/>
      <c r="AN72" s="136"/>
      <c r="AO72" s="136"/>
      <c r="AP72" s="136"/>
      <c r="AQ72" s="137">
        <f>X72*AA72/100</f>
        <v>205.54</v>
      </c>
    </row>
    <row r="73" spans="1:43" ht="15" customHeight="1" x14ac:dyDescent="0.25">
      <c r="A73" s="348"/>
      <c r="B73" s="341"/>
      <c r="C73" s="341"/>
      <c r="D73" s="341"/>
      <c r="E73" s="341"/>
      <c r="F73" s="379">
        <f>813.1*(100%-6.7%)</f>
        <v>758.62230000000011</v>
      </c>
      <c r="G73" s="213"/>
      <c r="H73" s="213"/>
      <c r="I73" s="213"/>
      <c r="J73" s="213"/>
      <c r="K73" s="213"/>
      <c r="L73" s="213"/>
      <c r="M73" s="213"/>
      <c r="N73" s="213"/>
      <c r="O73" s="213"/>
      <c r="P73" s="379">
        <f>813.1*6.7%</f>
        <v>54.477700000000006</v>
      </c>
      <c r="Q73" s="341"/>
      <c r="R73" s="341"/>
      <c r="S73" s="341"/>
      <c r="T73" s="341"/>
      <c r="U73" s="341"/>
      <c r="V73" s="341"/>
      <c r="W73" s="136"/>
      <c r="X73" s="151">
        <f t="shared" si="0"/>
        <v>813.10000000000014</v>
      </c>
      <c r="Y73" s="138" t="s">
        <v>69</v>
      </c>
      <c r="Z73" s="135"/>
      <c r="AA73" s="136">
        <v>25</v>
      </c>
      <c r="AB73" s="136"/>
      <c r="AC73" s="137"/>
      <c r="AD73" s="135"/>
      <c r="AE73" s="137"/>
      <c r="AF73" s="135"/>
      <c r="AG73" s="137"/>
      <c r="AH73" s="108">
        <f t="shared" si="6"/>
        <v>203.27500000000003</v>
      </c>
      <c r="AI73" s="153"/>
      <c r="AJ73" s="136"/>
      <c r="AK73" s="136"/>
      <c r="AL73" s="136"/>
      <c r="AM73" s="136"/>
      <c r="AN73" s="136"/>
      <c r="AO73" s="136"/>
      <c r="AP73" s="136"/>
      <c r="AQ73" s="137">
        <f>X73*AA73/100</f>
        <v>203.27500000000003</v>
      </c>
    </row>
    <row r="74" spans="1:43" ht="15" customHeight="1" x14ac:dyDescent="0.25">
      <c r="A74" s="348"/>
      <c r="B74" s="341"/>
      <c r="C74" s="341"/>
      <c r="D74" s="341"/>
      <c r="E74" s="341"/>
      <c r="F74" s="379">
        <f>327*(100%-6.7%)</f>
        <v>305.09100000000001</v>
      </c>
      <c r="G74" s="213"/>
      <c r="H74" s="213"/>
      <c r="I74" s="213"/>
      <c r="J74" s="213"/>
      <c r="K74" s="213"/>
      <c r="L74" s="213"/>
      <c r="M74" s="213"/>
      <c r="N74" s="213"/>
      <c r="O74" s="213"/>
      <c r="P74" s="379">
        <f>327*6.7%</f>
        <v>21.909000000000002</v>
      </c>
      <c r="Q74" s="341"/>
      <c r="R74" s="341"/>
      <c r="S74" s="341"/>
      <c r="T74" s="341"/>
      <c r="U74" s="341"/>
      <c r="V74" s="341"/>
      <c r="W74" s="136"/>
      <c r="X74" s="151">
        <f t="shared" si="0"/>
        <v>327</v>
      </c>
      <c r="Y74" s="138" t="s">
        <v>121</v>
      </c>
      <c r="Z74" s="135"/>
      <c r="AA74" s="136">
        <v>25</v>
      </c>
      <c r="AB74" s="136"/>
      <c r="AC74" s="137"/>
      <c r="AD74" s="135"/>
      <c r="AE74" s="137"/>
      <c r="AF74" s="135"/>
      <c r="AG74" s="137"/>
      <c r="AH74" s="108">
        <f t="shared" si="6"/>
        <v>81.75</v>
      </c>
      <c r="AI74" s="153"/>
      <c r="AJ74" s="136"/>
      <c r="AK74" s="136"/>
      <c r="AL74" s="136"/>
      <c r="AM74" s="136"/>
      <c r="AN74" s="136"/>
      <c r="AO74" s="136"/>
      <c r="AP74" s="136"/>
      <c r="AQ74" s="137">
        <f>X74*AA74/100</f>
        <v>81.75</v>
      </c>
    </row>
    <row r="75" spans="1:43" ht="15" customHeight="1" x14ac:dyDescent="0.25">
      <c r="A75" s="348"/>
      <c r="B75" s="341"/>
      <c r="C75" s="341"/>
      <c r="D75" s="341"/>
      <c r="E75" s="341"/>
      <c r="F75" s="379">
        <f>112.7*(100%-6.7%)</f>
        <v>105.1491</v>
      </c>
      <c r="G75" s="213"/>
      <c r="H75" s="213"/>
      <c r="I75" s="213"/>
      <c r="J75" s="213"/>
      <c r="K75" s="213"/>
      <c r="L75" s="213"/>
      <c r="M75" s="213"/>
      <c r="N75" s="213"/>
      <c r="O75" s="213"/>
      <c r="P75" s="379">
        <f>112.7*6.7%</f>
        <v>7.5509000000000004</v>
      </c>
      <c r="Q75" s="341"/>
      <c r="R75" s="341"/>
      <c r="S75" s="341"/>
      <c r="T75" s="341"/>
      <c r="U75" s="341"/>
      <c r="V75" s="341"/>
      <c r="W75" s="136"/>
      <c r="X75" s="151">
        <f t="shared" si="0"/>
        <v>112.7</v>
      </c>
      <c r="Y75" s="138" t="s">
        <v>9</v>
      </c>
      <c r="Z75" s="135"/>
      <c r="AA75" s="136">
        <v>33</v>
      </c>
      <c r="AB75" s="136"/>
      <c r="AC75" s="137"/>
      <c r="AD75" s="135"/>
      <c r="AE75" s="137"/>
      <c r="AF75" s="135"/>
      <c r="AG75" s="137"/>
      <c r="AH75" s="108">
        <f t="shared" si="6"/>
        <v>37.191000000000003</v>
      </c>
      <c r="AI75" s="153"/>
      <c r="AJ75" s="136"/>
      <c r="AK75" s="136"/>
      <c r="AL75" s="136"/>
      <c r="AM75" s="136"/>
      <c r="AN75" s="136"/>
      <c r="AO75" s="136"/>
      <c r="AP75" s="136"/>
      <c r="AQ75" s="137">
        <f>X75*AA75/100</f>
        <v>37.191000000000003</v>
      </c>
    </row>
    <row r="76" spans="1:43" ht="15" customHeight="1" x14ac:dyDescent="0.25">
      <c r="A76" s="348"/>
      <c r="B76" s="341"/>
      <c r="C76" s="341"/>
      <c r="D76" s="341"/>
      <c r="E76" s="341"/>
      <c r="F76" s="379">
        <f>280.3*(100%-6.7%)</f>
        <v>261.51990000000001</v>
      </c>
      <c r="G76" s="213"/>
      <c r="H76" s="213"/>
      <c r="I76" s="213"/>
      <c r="J76" s="213"/>
      <c r="K76" s="213"/>
      <c r="L76" s="213"/>
      <c r="M76" s="213"/>
      <c r="N76" s="213"/>
      <c r="O76" s="213"/>
      <c r="P76" s="379">
        <f>280.3*6.7%</f>
        <v>18.780100000000001</v>
      </c>
      <c r="Q76" s="341"/>
      <c r="R76" s="341"/>
      <c r="S76" s="341"/>
      <c r="T76" s="341"/>
      <c r="U76" s="341"/>
      <c r="V76" s="341"/>
      <c r="W76" s="136"/>
      <c r="X76" s="137">
        <f>SUM(A76:W76)</f>
        <v>280.3</v>
      </c>
      <c r="Y76" s="138" t="s">
        <v>70</v>
      </c>
      <c r="Z76" s="135"/>
      <c r="AA76" s="136">
        <v>33</v>
      </c>
      <c r="AB76" s="136"/>
      <c r="AC76" s="137"/>
      <c r="AD76" s="135"/>
      <c r="AE76" s="137"/>
      <c r="AF76" s="135"/>
      <c r="AG76" s="137"/>
      <c r="AH76" s="108">
        <f t="shared" si="6"/>
        <v>92.498999999999995</v>
      </c>
      <c r="AI76" s="153"/>
      <c r="AJ76" s="136"/>
      <c r="AK76" s="136"/>
      <c r="AL76" s="136"/>
      <c r="AM76" s="136"/>
      <c r="AN76" s="136"/>
      <c r="AO76" s="136"/>
      <c r="AP76" s="136"/>
      <c r="AQ76" s="137">
        <f>X76*AA76/100</f>
        <v>92.498999999999995</v>
      </c>
    </row>
    <row r="77" spans="1:43" ht="15" customHeight="1" x14ac:dyDescent="0.25">
      <c r="A77" s="348"/>
      <c r="B77" s="341"/>
      <c r="C77" s="341"/>
      <c r="D77" s="341"/>
      <c r="E77" s="341"/>
      <c r="F77" s="379">
        <v>266.8</v>
      </c>
      <c r="G77" s="213"/>
      <c r="H77" s="213"/>
      <c r="I77" s="213"/>
      <c r="J77" s="213"/>
      <c r="K77" s="213"/>
      <c r="L77" s="213"/>
      <c r="M77" s="213"/>
      <c r="N77" s="213"/>
      <c r="O77" s="213"/>
      <c r="P77" s="213"/>
      <c r="Q77" s="341"/>
      <c r="R77" s="341"/>
      <c r="S77" s="341"/>
      <c r="T77" s="341"/>
      <c r="U77" s="341"/>
      <c r="V77" s="341"/>
      <c r="W77" s="136"/>
      <c r="X77" s="137">
        <f>SUM(A77:W77)</f>
        <v>266.8</v>
      </c>
      <c r="Y77" s="138" t="s">
        <v>10</v>
      </c>
      <c r="Z77" s="135"/>
      <c r="AA77" s="136">
        <v>33</v>
      </c>
      <c r="AB77" s="136"/>
      <c r="AC77" s="137"/>
      <c r="AD77" s="135"/>
      <c r="AE77" s="137"/>
      <c r="AF77" s="135"/>
      <c r="AG77" s="137"/>
      <c r="AH77" s="108">
        <f t="shared" si="6"/>
        <v>88.044000000000011</v>
      </c>
      <c r="AI77" s="153"/>
      <c r="AJ77" s="136"/>
      <c r="AK77" s="136"/>
      <c r="AL77" s="136"/>
      <c r="AM77" s="136"/>
      <c r="AN77" s="136"/>
      <c r="AO77" s="136"/>
      <c r="AP77" s="136">
        <f>X77*AA77%</f>
        <v>88.044000000000011</v>
      </c>
      <c r="AQ77" s="137"/>
    </row>
    <row r="78" spans="1:43" ht="15" customHeight="1" x14ac:dyDescent="0.25">
      <c r="A78" s="216"/>
      <c r="B78" s="353"/>
      <c r="C78" s="353"/>
      <c r="D78" s="353"/>
      <c r="E78" s="353"/>
      <c r="F78" s="380">
        <v>51.5</v>
      </c>
      <c r="G78" s="353"/>
      <c r="H78" s="353"/>
      <c r="I78" s="353"/>
      <c r="J78" s="353"/>
      <c r="K78" s="353"/>
      <c r="L78" s="353"/>
      <c r="M78" s="353"/>
      <c r="N78" s="353"/>
      <c r="O78" s="353"/>
      <c r="P78" s="353"/>
      <c r="Q78" s="353"/>
      <c r="R78" s="353"/>
      <c r="S78" s="353"/>
      <c r="T78" s="353"/>
      <c r="U78" s="353"/>
      <c r="V78" s="353"/>
      <c r="W78" s="175"/>
      <c r="X78" s="137">
        <f>SUM(A78:W78)</f>
        <v>51.5</v>
      </c>
      <c r="Y78" s="177" t="s">
        <v>32</v>
      </c>
      <c r="Z78" s="174"/>
      <c r="AA78" s="136">
        <v>33</v>
      </c>
      <c r="AB78" s="175"/>
      <c r="AC78" s="178"/>
      <c r="AD78" s="135">
        <f>-AE78/$D$2%</f>
        <v>0</v>
      </c>
      <c r="AE78" s="179"/>
      <c r="AF78" s="174"/>
      <c r="AG78" s="178"/>
      <c r="AH78" s="108">
        <f t="shared" si="6"/>
        <v>16.995000000000001</v>
      </c>
      <c r="AI78" s="180"/>
      <c r="AJ78" s="175"/>
      <c r="AK78" s="175"/>
      <c r="AL78" s="175"/>
      <c r="AM78" s="175"/>
      <c r="AN78" s="175"/>
      <c r="AO78" s="175"/>
      <c r="AP78" s="175"/>
      <c r="AQ78" s="137">
        <f>X78*AA78/100+AE78*AA78%</f>
        <v>16.995000000000001</v>
      </c>
    </row>
    <row r="79" spans="1:43" ht="15" customHeight="1" x14ac:dyDescent="0.25">
      <c r="A79" s="216"/>
      <c r="B79" s="353"/>
      <c r="C79" s="353"/>
      <c r="D79" s="353"/>
      <c r="E79" s="353"/>
      <c r="F79" s="353"/>
      <c r="G79" s="380">
        <v>760.2</v>
      </c>
      <c r="H79" s="379">
        <v>0.8</v>
      </c>
      <c r="I79" s="353"/>
      <c r="J79" s="353"/>
      <c r="K79" s="353"/>
      <c r="L79" s="353"/>
      <c r="M79" s="353"/>
      <c r="N79" s="353"/>
      <c r="O79" s="353"/>
      <c r="P79" s="353"/>
      <c r="Q79" s="353"/>
      <c r="R79" s="353"/>
      <c r="S79" s="353"/>
      <c r="T79" s="353"/>
      <c r="U79" s="353"/>
      <c r="V79" s="353"/>
      <c r="W79" s="175"/>
      <c r="X79" s="137">
        <f>SUM(A79:W79)</f>
        <v>761</v>
      </c>
      <c r="Y79" s="177" t="s">
        <v>33</v>
      </c>
      <c r="Z79" s="174"/>
      <c r="AA79" s="136">
        <v>33</v>
      </c>
      <c r="AB79" s="175"/>
      <c r="AC79" s="178"/>
      <c r="AD79" s="174"/>
      <c r="AE79" s="178"/>
      <c r="AF79" s="174"/>
      <c r="AG79" s="178"/>
      <c r="AH79" s="108">
        <f t="shared" si="6"/>
        <v>251.13</v>
      </c>
      <c r="AI79" s="180"/>
      <c r="AJ79" s="175"/>
      <c r="AK79" s="175"/>
      <c r="AL79" s="175"/>
      <c r="AM79" s="175"/>
      <c r="AN79" s="175"/>
      <c r="AO79" s="175"/>
      <c r="AP79" s="175"/>
      <c r="AQ79" s="137">
        <f>X79*AA79/100</f>
        <v>251.13</v>
      </c>
    </row>
    <row r="80" spans="1:43" ht="15" customHeight="1" thickBot="1" x14ac:dyDescent="0.3">
      <c r="A80" s="216"/>
      <c r="B80" s="353"/>
      <c r="C80" s="353"/>
      <c r="D80" s="380">
        <v>0.1</v>
      </c>
      <c r="E80" s="353"/>
      <c r="F80" s="380">
        <v>108.6</v>
      </c>
      <c r="G80" s="353"/>
      <c r="H80" s="353"/>
      <c r="I80" s="353"/>
      <c r="J80" s="353"/>
      <c r="K80" s="353"/>
      <c r="L80" s="353"/>
      <c r="M80" s="353"/>
      <c r="N80" s="353"/>
      <c r="O80" s="353"/>
      <c r="P80" s="353"/>
      <c r="Q80" s="353"/>
      <c r="R80" s="353"/>
      <c r="S80" s="353"/>
      <c r="T80" s="353"/>
      <c r="U80" s="353"/>
      <c r="V80" s="353"/>
      <c r="W80" s="175"/>
      <c r="X80" s="178">
        <f t="shared" si="0"/>
        <v>108.69999999999999</v>
      </c>
      <c r="Y80" s="181" t="s">
        <v>11</v>
      </c>
      <c r="Z80" s="182"/>
      <c r="AA80" s="136">
        <v>33</v>
      </c>
      <c r="AB80" s="183"/>
      <c r="AC80" s="184"/>
      <c r="AD80" s="182"/>
      <c r="AE80" s="184"/>
      <c r="AF80" s="182"/>
      <c r="AG80" s="184"/>
      <c r="AH80" s="109">
        <f t="shared" si="6"/>
        <v>35.870999999999995</v>
      </c>
      <c r="AI80" s="185"/>
      <c r="AJ80" s="183"/>
      <c r="AK80" s="183"/>
      <c r="AL80" s="183"/>
      <c r="AM80" s="183"/>
      <c r="AN80" s="183"/>
      <c r="AO80" s="183"/>
      <c r="AP80" s="183"/>
      <c r="AQ80" s="137">
        <f>X80*AA80/100</f>
        <v>35.870999999999995</v>
      </c>
    </row>
    <row r="81" spans="1:44" ht="15" customHeight="1" thickBot="1" x14ac:dyDescent="0.3">
      <c r="A81" s="186">
        <f t="shared" ref="A81:W81" si="8">SUM(A8:A80)</f>
        <v>-130.94872402022855</v>
      </c>
      <c r="B81" s="187">
        <f t="shared" si="8"/>
        <v>43</v>
      </c>
      <c r="C81" s="187">
        <f t="shared" si="8"/>
        <v>9.3000000000000007</v>
      </c>
      <c r="D81" s="187">
        <f t="shared" si="8"/>
        <v>0.1</v>
      </c>
      <c r="E81" s="187">
        <f t="shared" si="8"/>
        <v>184.7</v>
      </c>
      <c r="F81" s="187">
        <f t="shared" si="8"/>
        <v>1857.2823000000001</v>
      </c>
      <c r="G81" s="187">
        <f t="shared" si="8"/>
        <v>760.2</v>
      </c>
      <c r="H81" s="187">
        <f t="shared" si="8"/>
        <v>996.6413</v>
      </c>
      <c r="I81" s="187">
        <f t="shared" si="8"/>
        <v>1238.4999999999998</v>
      </c>
      <c r="J81" s="187">
        <f t="shared" si="8"/>
        <v>1209.5999999999999</v>
      </c>
      <c r="K81" s="187">
        <f t="shared" si="8"/>
        <v>0</v>
      </c>
      <c r="L81" s="187">
        <f t="shared" si="8"/>
        <v>73.099999999999994</v>
      </c>
      <c r="M81" s="187">
        <f t="shared" si="8"/>
        <v>0</v>
      </c>
      <c r="N81" s="187">
        <f t="shared" si="8"/>
        <v>18</v>
      </c>
      <c r="O81" s="187">
        <f t="shared" si="8"/>
        <v>3.496</v>
      </c>
      <c r="P81" s="187">
        <f t="shared" si="8"/>
        <v>156.77640000000002</v>
      </c>
      <c r="Q81" s="187">
        <f t="shared" si="8"/>
        <v>191</v>
      </c>
      <c r="R81" s="187">
        <f t="shared" si="8"/>
        <v>2277.4</v>
      </c>
      <c r="S81" s="187">
        <f t="shared" si="8"/>
        <v>989.6</v>
      </c>
      <c r="T81" s="187">
        <f t="shared" si="8"/>
        <v>4.1040000000000001</v>
      </c>
      <c r="U81" s="187">
        <f t="shared" si="8"/>
        <v>0</v>
      </c>
      <c r="V81" s="187">
        <f t="shared" si="8"/>
        <v>23.1</v>
      </c>
      <c r="W81" s="187">
        <f t="shared" si="8"/>
        <v>0</v>
      </c>
      <c r="X81" s="188">
        <f>SUM(X8:X80)</f>
        <v>9904.9512759797726</v>
      </c>
      <c r="Y81" s="20" t="s">
        <v>2</v>
      </c>
      <c r="Z81" s="189"/>
      <c r="AA81" s="189"/>
      <c r="AB81" s="189"/>
      <c r="AC81" s="189"/>
      <c r="AD81" s="186">
        <f t="shared" ref="AD81:AQ81" si="9">SUM(AD8:AD80)</f>
        <v>-2.8066438062523957E-13</v>
      </c>
      <c r="AE81" s="188">
        <f t="shared" si="9"/>
        <v>1523.7080781374202</v>
      </c>
      <c r="AF81" s="186">
        <f t="shared" si="9"/>
        <v>0</v>
      </c>
      <c r="AG81" s="188">
        <f t="shared" si="9"/>
        <v>1768.3889806600005</v>
      </c>
      <c r="AH81" s="20">
        <f t="shared" si="9"/>
        <v>5808.5266678837306</v>
      </c>
      <c r="AI81" s="190">
        <f t="shared" si="9"/>
        <v>2741.6202714464098</v>
      </c>
      <c r="AJ81" s="187">
        <f t="shared" si="9"/>
        <v>302.20802602089975</v>
      </c>
      <c r="AK81" s="187">
        <f t="shared" si="9"/>
        <v>335.96189547467196</v>
      </c>
      <c r="AL81" s="187">
        <f t="shared" si="9"/>
        <v>270.50695074487504</v>
      </c>
      <c r="AM81" s="187">
        <f t="shared" si="9"/>
        <v>12.772946267896687</v>
      </c>
      <c r="AN81" s="187">
        <f t="shared" si="9"/>
        <v>1030.1969874309311</v>
      </c>
      <c r="AO81" s="187">
        <f t="shared" si="9"/>
        <v>27.550889742567819</v>
      </c>
      <c r="AP81" s="187">
        <f t="shared" si="9"/>
        <v>159.18970075547767</v>
      </c>
      <c r="AQ81" s="188">
        <f t="shared" si="9"/>
        <v>928.51900000000001</v>
      </c>
    </row>
    <row r="82" spans="1:44" ht="15" customHeight="1" x14ac:dyDescent="0.35">
      <c r="A82" s="150">
        <f t="shared" ref="A82:V82" si="10">A81*A89/1000</f>
        <v>-16.253355625390768</v>
      </c>
      <c r="B82" s="147">
        <f t="shared" si="10"/>
        <v>2.7133000000000003</v>
      </c>
      <c r="C82" s="147">
        <f t="shared" si="10"/>
        <v>0.88303500000000013</v>
      </c>
      <c r="D82" s="147">
        <f t="shared" si="10"/>
        <v>7.8840000000000004E-3</v>
      </c>
      <c r="E82" s="147">
        <f t="shared" si="10"/>
        <v>13.6678</v>
      </c>
      <c r="F82" s="147">
        <f t="shared" si="10"/>
        <v>137.4388902</v>
      </c>
      <c r="G82" s="147">
        <f t="shared" si="10"/>
        <v>54.734400000000001</v>
      </c>
      <c r="H82" s="147">
        <f t="shared" si="10"/>
        <v>72.7548149</v>
      </c>
      <c r="I82" s="147">
        <f t="shared" si="10"/>
        <v>70.594499999999982</v>
      </c>
      <c r="J82" s="147">
        <f t="shared" si="10"/>
        <v>0</v>
      </c>
      <c r="K82" s="147">
        <f t="shared" si="10"/>
        <v>0</v>
      </c>
      <c r="L82" s="147">
        <f t="shared" si="10"/>
        <v>0</v>
      </c>
      <c r="M82" s="147">
        <f t="shared" si="10"/>
        <v>0</v>
      </c>
      <c r="N82" s="147">
        <v>0</v>
      </c>
      <c r="O82" s="147">
        <f t="shared" si="10"/>
        <v>0</v>
      </c>
      <c r="P82" s="147">
        <f t="shared" si="10"/>
        <v>0</v>
      </c>
      <c r="Q82" s="147">
        <f t="shared" si="10"/>
        <v>0</v>
      </c>
      <c r="R82" s="147">
        <f t="shared" si="10"/>
        <v>0</v>
      </c>
      <c r="S82" s="147">
        <f t="shared" si="10"/>
        <v>0</v>
      </c>
      <c r="T82" s="147">
        <f t="shared" si="10"/>
        <v>0</v>
      </c>
      <c r="U82" s="147">
        <f t="shared" si="10"/>
        <v>0</v>
      </c>
      <c r="V82" s="147">
        <f t="shared" si="10"/>
        <v>0</v>
      </c>
      <c r="W82" s="147">
        <f>W81*W89/1000</f>
        <v>0</v>
      </c>
      <c r="X82" s="151">
        <f>SUM(A82:W82)</f>
        <v>336.54126847460918</v>
      </c>
      <c r="Y82" s="21" t="s">
        <v>256</v>
      </c>
      <c r="Z82" s="191">
        <f>X82*1000/D1</f>
        <v>3.4248335467827729</v>
      </c>
      <c r="AA82" s="192" t="s">
        <v>12</v>
      </c>
      <c r="AB82" s="192"/>
      <c r="AC82" s="193"/>
      <c r="AD82" s="19"/>
      <c r="AE82" s="19"/>
      <c r="AF82" s="19"/>
      <c r="AG82" s="19"/>
      <c r="AH82" s="19"/>
      <c r="AI82" s="19"/>
      <c r="AJ82" s="19"/>
      <c r="AK82" s="19"/>
      <c r="AL82" s="19"/>
      <c r="AM82" s="19"/>
      <c r="AN82" s="19"/>
      <c r="AO82" s="19"/>
      <c r="AP82" s="19"/>
      <c r="AQ82" s="19"/>
    </row>
    <row r="83" spans="1:44" ht="15" customHeight="1" x14ac:dyDescent="0.25">
      <c r="A83" s="135"/>
      <c r="B83" s="136"/>
      <c r="C83" s="136"/>
      <c r="D83" s="136"/>
      <c r="E83" s="136"/>
      <c r="F83" s="136"/>
      <c r="G83" s="136"/>
      <c r="H83" s="136"/>
      <c r="I83" s="136"/>
      <c r="J83" s="136"/>
      <c r="K83" s="136"/>
      <c r="L83" s="136"/>
      <c r="M83" s="136"/>
      <c r="N83" s="136"/>
      <c r="O83" s="110">
        <v>263</v>
      </c>
      <c r="P83" s="110">
        <v>956</v>
      </c>
      <c r="Q83" s="110">
        <v>946</v>
      </c>
      <c r="R83" s="110">
        <v>438</v>
      </c>
      <c r="S83" s="136"/>
      <c r="T83" s="136"/>
      <c r="U83" s="136"/>
      <c r="V83" s="136"/>
      <c r="W83" s="136"/>
      <c r="X83" s="137">
        <f>SUM(A83:W83)</f>
        <v>2603</v>
      </c>
      <c r="Y83" s="108" t="s">
        <v>35</v>
      </c>
      <c r="Z83" s="93">
        <f>(SUM(J14:V14)+AD15*A87%+SUM(J19:V19)+SUM(J20:V20)+SUM(J21:V21)+SUM(J22:V22)+SUM(J25:V25)+SUM(J72:V72)+SUM(J73:V73)+SUM(J74:V74)+SUM(J75:V75)+SUM(J76:V76)+SUM(J77:V77)+SUM(J78:V78)+SUM(J79:V79)+SUM(J80:V80)+SUM(J26:V26)*(Z26%+AB26%)+SUM(J27:V27)*(Z27%+AB27%)+SUM(J28:V28)*(Z28%+AB28%)+SUM(J29:V29)*(Z29%+AB29%)+SUM(J30:V30)*(Z30%+AB30%)+SUM(J32:V32)*(Z32%+AA32%+AB32%)+SUM(J31:V31)*(AA31%)+SUM(J33:V33)*(Z33%+AB33%)+SUM(J34:V34)*(Z34%+AB34%)+SUM(J35:V35)*(Z35%+AB35%)+SUM(J36:V36)*(Z36%+AB36%)+SUM(J37:V37)+SUM(J40:V40)*(Z40%+AB40%)+SUM(J41:V41)*(Z41%+AB41%)+SUM(J42:V42)*(Z42%+AB42%)+SUM(J44:V44)*(Z44%+AB44%)+SUM(J45:V45)*(Z45%+AB45%)+SUM(J46:V46)*(Z46%+AB46%)+SUM(J47:V47)*(Z47%+AB47%)+SUM(J48:V48)+SUM(J50:V50)*(Z50%+AB50%)+SUM(J51:V51)*(Z51%+AB51%)+SUM(J53:V53)*(Z53%+AA53%+AB53%)+SUM(J54:V54)*(Z54%+AA54%+AB54%)+SUM(J56:V56)*(Z56%+AB56%)+SUM(J57:V57)+SUM(J59:V59)*(Z59%+AB59%)+SUM(J60:V60)*(Z60%+AB60%)+SUM(J61:V61)*(Z61%+AB61%)+SUM(J63:V63)*(Z63%+AB63%)+SUM(J64:V64)*(Z64%+AB64%)+SUM(J65:V65)*(Z65%+AB65%)+SUM(J66:V66)*(Z66%+AB66%)+SUM(J67:V67)*(Z67%+AB67%)+SUM(J68:V68)*(Z68%+AB68%))/(SUM(X8:X14)+SUM(X16:X25)+X32*AA32%+X53*AA53%+X54*AA54%+SUM(X72:X80)+(AG39/AC39%+AG43/AC43%+AG52/AC52%+AG55/AC55%+AG62/AC62%+AG71/AC71%)+AE81+SUM(AE8:AE14)*(1-D2%)+(-AF70))*100</f>
        <v>49.24766476933678</v>
      </c>
      <c r="AA83" s="2" t="s">
        <v>210</v>
      </c>
      <c r="AB83" s="2"/>
      <c r="AC83" s="117"/>
      <c r="AD83" s="19"/>
      <c r="AE83" s="19"/>
      <c r="AF83" s="19"/>
      <c r="AG83" s="19"/>
      <c r="AH83" s="19"/>
      <c r="AI83" s="19"/>
      <c r="AJ83" s="19"/>
      <c r="AK83" s="19"/>
      <c r="AL83" s="19"/>
      <c r="AM83" s="19"/>
      <c r="AN83" s="19"/>
      <c r="AO83" s="19"/>
      <c r="AP83" s="19"/>
      <c r="AQ83" s="19"/>
    </row>
    <row r="84" spans="1:44" ht="15" customHeight="1" thickBot="1" x14ac:dyDescent="0.3">
      <c r="A84" s="182"/>
      <c r="B84" s="183"/>
      <c r="C84" s="183"/>
      <c r="D84" s="183"/>
      <c r="E84" s="183"/>
      <c r="F84" s="183"/>
      <c r="G84" s="183"/>
      <c r="H84" s="183"/>
      <c r="I84" s="183"/>
      <c r="J84" s="183" t="str">
        <f>IF(J83&gt;0,J81/J83*100,"")</f>
        <v/>
      </c>
      <c r="K84" s="183" t="str">
        <f t="shared" ref="K84:W84" si="11">IF(K83&gt;0,K81/K83*100,"")</f>
        <v/>
      </c>
      <c r="L84" s="183" t="str">
        <f t="shared" si="11"/>
        <v/>
      </c>
      <c r="M84" s="183" t="str">
        <f t="shared" si="11"/>
        <v/>
      </c>
      <c r="N84" s="183" t="str">
        <f t="shared" si="11"/>
        <v/>
      </c>
      <c r="O84" s="183">
        <f t="shared" si="11"/>
        <v>1.3292775665399239</v>
      </c>
      <c r="P84" s="183">
        <f t="shared" si="11"/>
        <v>16.399205020920505</v>
      </c>
      <c r="Q84" s="183">
        <f t="shared" si="11"/>
        <v>20.190274841437635</v>
      </c>
      <c r="R84" s="183">
        <f t="shared" si="11"/>
        <v>519.95433789954348</v>
      </c>
      <c r="S84" s="183" t="str">
        <f t="shared" si="11"/>
        <v/>
      </c>
      <c r="T84" s="183" t="str">
        <f t="shared" si="11"/>
        <v/>
      </c>
      <c r="U84" s="183" t="str">
        <f t="shared" si="11"/>
        <v/>
      </c>
      <c r="V84" s="183" t="str">
        <f>IF(V83&gt;0,V81/V83*100,"")</f>
        <v/>
      </c>
      <c r="W84" s="183" t="str">
        <f t="shared" si="11"/>
        <v/>
      </c>
      <c r="X84" s="184">
        <f>SUMIF(J83:W83,"&gt;0",J81:W81)/SUM(J83:W83)%</f>
        <v>100.98626200537842</v>
      </c>
      <c r="Y84" s="109" t="s">
        <v>38</v>
      </c>
      <c r="Z84" s="118">
        <f>SUM(J81:V81)/X81*100</f>
        <v>49.936403140062268</v>
      </c>
      <c r="AA84" s="94" t="s">
        <v>263</v>
      </c>
      <c r="AB84" s="94"/>
      <c r="AC84" s="119"/>
      <c r="AD84" s="19"/>
      <c r="AE84" s="19"/>
      <c r="AF84" s="19"/>
      <c r="AG84" s="19"/>
      <c r="AH84" s="19"/>
      <c r="AI84" s="19"/>
      <c r="AJ84" s="19"/>
      <c r="AK84" s="19"/>
      <c r="AL84" s="19"/>
      <c r="AM84" s="19"/>
      <c r="AN84" s="19"/>
      <c r="AO84" s="19"/>
      <c r="AP84" s="19"/>
      <c r="AQ84" s="19"/>
    </row>
    <row r="85" spans="1:44" ht="15" customHeight="1" thickBo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4" ht="17.25" customHeight="1" x14ac:dyDescent="0.25">
      <c r="A86" s="194" t="s">
        <v>122</v>
      </c>
      <c r="B86" s="422" t="str">
        <f t="shared" ref="B86:W86" si="12">B7</f>
        <v xml:space="preserve">  LPG og petroleum</v>
      </c>
      <c r="C86" s="422" t="str">
        <f t="shared" si="12"/>
        <v xml:space="preserve">  Kul</v>
      </c>
      <c r="D86" s="422" t="str">
        <f t="shared" si="12"/>
        <v xml:space="preserve">  Fuelolie</v>
      </c>
      <c r="E86" s="422" t="str">
        <f t="shared" si="12"/>
        <v xml:space="preserve">  Brændselsolie</v>
      </c>
      <c r="F86" s="422" t="str">
        <f t="shared" si="12"/>
        <v xml:space="preserve">  Dieselolie</v>
      </c>
      <c r="G86" s="422" t="str">
        <f t="shared" si="12"/>
        <v xml:space="preserve">  JP1</v>
      </c>
      <c r="H86" s="422" t="str">
        <f t="shared" si="12"/>
        <v xml:space="preserve">  Benzin</v>
      </c>
      <c r="I86" s="422" t="str">
        <f t="shared" si="12"/>
        <v xml:space="preserve">  Naturgas</v>
      </c>
      <c r="J86" s="422" t="str">
        <f t="shared" si="12"/>
        <v xml:space="preserve">  Vindenergi</v>
      </c>
      <c r="K86" s="422" t="str">
        <f t="shared" si="12"/>
        <v xml:space="preserve">  Vandenergi</v>
      </c>
      <c r="L86" s="422" t="str">
        <f t="shared" si="12"/>
        <v xml:space="preserve">  Solenergi</v>
      </c>
      <c r="M86" s="422" t="str">
        <f t="shared" si="12"/>
        <v xml:space="preserve">  Geotermi</v>
      </c>
      <c r="N86" s="422" t="str">
        <f t="shared" si="12"/>
        <v xml:space="preserve">  Varmekilder til varmepumper</v>
      </c>
      <c r="O86" s="422" t="str">
        <f t="shared" si="12"/>
        <v xml:space="preserve">  Husdyrsgødning</v>
      </c>
      <c r="P86" s="422" t="str">
        <f t="shared" si="12"/>
        <v xml:space="preserve">  Biobrændstof og energiafgrøder</v>
      </c>
      <c r="Q86" s="422" t="str">
        <f t="shared" si="12"/>
        <v xml:space="preserve">  Halm</v>
      </c>
      <c r="R86" s="422" t="str">
        <f t="shared" si="12"/>
        <v xml:space="preserve">  Brænde og træflis</v>
      </c>
      <c r="S86" s="422" t="str">
        <f t="shared" si="12"/>
        <v xml:space="preserve">  Træpiller og træaffald</v>
      </c>
      <c r="T86" s="422" t="str">
        <f t="shared" si="12"/>
        <v xml:space="preserve">  Organisk affald, industri</v>
      </c>
      <c r="U86" s="422" t="str">
        <f t="shared" si="12"/>
        <v xml:space="preserve">  Organisk affald, husholdninger</v>
      </c>
      <c r="V86" s="422" t="str">
        <f t="shared" si="12"/>
        <v xml:space="preserve">  Deponi, slam, renseanlæg</v>
      </c>
      <c r="W86" s="425" t="str">
        <f t="shared" si="12"/>
        <v xml:space="preserve">  Affald, ikke bionedbrydeligt</v>
      </c>
      <c r="X86" s="4"/>
      <c r="Y86" s="4"/>
      <c r="Z86" s="4"/>
      <c r="AA86" s="4"/>
      <c r="AB86" s="4"/>
      <c r="AC86" s="4"/>
      <c r="AD86" s="4"/>
      <c r="AE86" s="4"/>
      <c r="AF86" s="4"/>
      <c r="AG86" s="4"/>
      <c r="AH86" s="4"/>
      <c r="AI86" s="4"/>
      <c r="AJ86" s="4"/>
      <c r="AK86" s="4"/>
      <c r="AL86" s="4"/>
      <c r="AM86" s="4"/>
      <c r="AN86" s="4"/>
      <c r="AO86" s="4"/>
      <c r="AP86" s="4"/>
      <c r="AQ86" s="4"/>
    </row>
    <row r="87" spans="1:44" ht="24.6" x14ac:dyDescent="0.25">
      <c r="A87" s="278">
        <v>44</v>
      </c>
      <c r="B87" s="423"/>
      <c r="C87" s="423"/>
      <c r="D87" s="423"/>
      <c r="E87" s="423"/>
      <c r="F87" s="423"/>
      <c r="G87" s="423"/>
      <c r="H87" s="423"/>
      <c r="I87" s="423"/>
      <c r="J87" s="423"/>
      <c r="K87" s="423"/>
      <c r="L87" s="423"/>
      <c r="M87" s="423"/>
      <c r="N87" s="423"/>
      <c r="O87" s="423"/>
      <c r="P87" s="423"/>
      <c r="Q87" s="423"/>
      <c r="R87" s="423"/>
      <c r="S87" s="423"/>
      <c r="T87" s="423"/>
      <c r="U87" s="423"/>
      <c r="V87" s="423"/>
      <c r="W87" s="426"/>
      <c r="X87" s="4"/>
      <c r="Y87" s="4"/>
      <c r="Z87" s="4"/>
      <c r="AA87" s="4"/>
      <c r="AB87" s="4"/>
      <c r="AC87" s="4"/>
      <c r="AD87" s="4"/>
      <c r="AE87" s="4"/>
      <c r="AF87" s="4"/>
      <c r="AG87" s="4"/>
      <c r="AH87" s="4"/>
      <c r="AI87" s="4"/>
      <c r="AJ87" s="4"/>
      <c r="AK87" s="4"/>
      <c r="AL87" s="4"/>
      <c r="AM87" s="4"/>
      <c r="AN87" s="4"/>
      <c r="AO87" s="4"/>
      <c r="AP87" s="4"/>
      <c r="AQ87" s="4"/>
    </row>
    <row r="88" spans="1:44" ht="123" customHeight="1" thickBot="1" x14ac:dyDescent="0.3">
      <c r="A88" s="195" t="s">
        <v>123</v>
      </c>
      <c r="B88" s="424"/>
      <c r="C88" s="424"/>
      <c r="D88" s="424"/>
      <c r="E88" s="424"/>
      <c r="F88" s="424"/>
      <c r="G88" s="424"/>
      <c r="H88" s="424"/>
      <c r="I88" s="424"/>
      <c r="J88" s="424"/>
      <c r="K88" s="424"/>
      <c r="L88" s="424"/>
      <c r="M88" s="424"/>
      <c r="N88" s="424"/>
      <c r="O88" s="424"/>
      <c r="P88" s="424"/>
      <c r="Q88" s="424"/>
      <c r="R88" s="424"/>
      <c r="S88" s="424"/>
      <c r="T88" s="424"/>
      <c r="U88" s="424"/>
      <c r="V88" s="424"/>
      <c r="W88" s="427"/>
      <c r="X88" s="4"/>
      <c r="Y88" s="4"/>
      <c r="Z88" s="4"/>
      <c r="AA88" s="4"/>
      <c r="AB88" s="4"/>
      <c r="AC88" s="4"/>
      <c r="AD88" s="4"/>
      <c r="AE88" s="4"/>
      <c r="AF88" s="4"/>
      <c r="AG88" s="4"/>
      <c r="AH88" s="4"/>
      <c r="AI88" s="4"/>
      <c r="AJ88" s="4"/>
      <c r="AK88" s="4"/>
      <c r="AL88" s="4"/>
      <c r="AM88" s="4"/>
      <c r="AN88" s="4"/>
      <c r="AO88" s="4"/>
      <c r="AP88" s="4"/>
      <c r="AQ88" s="4"/>
    </row>
    <row r="89" spans="1:44" s="25" customFormat="1" ht="15" customHeight="1" thickBot="1" x14ac:dyDescent="0.3">
      <c r="A89" s="279">
        <v>124.12</v>
      </c>
      <c r="B89" s="196">
        <v>63.1</v>
      </c>
      <c r="C89" s="196">
        <v>94.95</v>
      </c>
      <c r="D89" s="196">
        <v>78.84</v>
      </c>
      <c r="E89" s="196">
        <v>74</v>
      </c>
      <c r="F89" s="196">
        <v>74</v>
      </c>
      <c r="G89" s="196">
        <v>72</v>
      </c>
      <c r="H89" s="196">
        <v>73</v>
      </c>
      <c r="I89" s="196">
        <v>57</v>
      </c>
      <c r="J89" s="197"/>
      <c r="K89" s="197"/>
      <c r="L89" s="197"/>
      <c r="M89" s="197"/>
      <c r="N89" s="198"/>
      <c r="O89" s="197"/>
      <c r="P89" s="197"/>
      <c r="Q89" s="197"/>
      <c r="R89" s="197"/>
      <c r="S89" s="197"/>
      <c r="T89" s="197"/>
      <c r="U89" s="197"/>
      <c r="V89" s="198"/>
      <c r="W89" s="199">
        <v>82.22</v>
      </c>
      <c r="X89" s="200" t="s">
        <v>222</v>
      </c>
      <c r="Y89" s="23"/>
      <c r="Z89" s="24"/>
      <c r="AA89" s="24"/>
      <c r="AB89" s="24"/>
      <c r="AC89" s="24"/>
      <c r="AD89" s="24"/>
      <c r="AE89" s="24"/>
      <c r="AF89" s="24"/>
      <c r="AG89" s="24"/>
      <c r="AH89" s="24"/>
      <c r="AI89" s="24"/>
      <c r="AJ89" s="24"/>
      <c r="AK89" s="24"/>
      <c r="AL89" s="24"/>
      <c r="AM89" s="24"/>
      <c r="AN89" s="24"/>
      <c r="AO89" s="24"/>
      <c r="AP89" s="24"/>
      <c r="AQ89" s="24"/>
    </row>
    <row r="90" spans="1:44"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row>
    <row r="91" spans="1:44" x14ac:dyDescent="0.25">
      <c r="Y91" s="15"/>
    </row>
    <row r="92" spans="1:44" x14ac:dyDescent="0.25">
      <c r="Y92" s="4"/>
    </row>
    <row r="93" spans="1:44" ht="12.75" customHeight="1" x14ac:dyDescent="0.4">
      <c r="A93" s="22"/>
      <c r="F93" s="369"/>
      <c r="G93" s="369"/>
      <c r="H93" s="369"/>
      <c r="I93" s="369"/>
      <c r="J93" s="369"/>
      <c r="K93" s="369"/>
      <c r="L93" s="369"/>
      <c r="M93" s="369"/>
      <c r="N93" s="369"/>
      <c r="O93" s="369"/>
      <c r="Y93" s="15"/>
    </row>
    <row r="94" spans="1:44" x14ac:dyDescent="0.25">
      <c r="F94" s="369"/>
      <c r="G94" s="369"/>
      <c r="H94" s="428"/>
      <c r="I94" s="428"/>
      <c r="J94" s="369"/>
      <c r="K94" s="369"/>
      <c r="L94" s="428"/>
      <c r="M94" s="428"/>
      <c r="N94" s="369"/>
      <c r="O94" s="369"/>
    </row>
    <row r="95" spans="1:44" x14ac:dyDescent="0.25">
      <c r="F95" s="369"/>
      <c r="G95" s="369"/>
      <c r="H95" s="369"/>
      <c r="I95" s="369"/>
      <c r="J95" s="369"/>
      <c r="K95" s="369"/>
      <c r="L95" s="369"/>
      <c r="M95" s="370"/>
      <c r="N95" s="369"/>
      <c r="O95" s="369"/>
      <c r="Y95" s="15"/>
      <c r="AC95" s="19"/>
      <c r="AD95" s="6">
        <f>AC95*0.11</f>
        <v>0</v>
      </c>
    </row>
    <row r="96" spans="1:44" x14ac:dyDescent="0.25">
      <c r="F96" s="369"/>
      <c r="G96" s="369"/>
      <c r="H96" s="369"/>
      <c r="I96" s="369"/>
      <c r="J96" s="369"/>
      <c r="K96" s="369"/>
      <c r="L96" s="369"/>
      <c r="M96" s="369"/>
      <c r="N96" s="369"/>
      <c r="O96" s="369"/>
      <c r="Y96" s="15"/>
    </row>
    <row r="97" spans="6:15" x14ac:dyDescent="0.25">
      <c r="F97" s="369"/>
      <c r="G97" s="369"/>
      <c r="H97" s="368"/>
      <c r="I97" s="371"/>
      <c r="J97" s="369"/>
      <c r="K97" s="369"/>
      <c r="L97" s="371"/>
      <c r="M97" s="368"/>
      <c r="N97" s="369"/>
      <c r="O97" s="369"/>
    </row>
    <row r="98" spans="6:15" x14ac:dyDescent="0.25">
      <c r="F98" s="369"/>
      <c r="G98" s="369"/>
      <c r="H98" s="369"/>
      <c r="I98" s="369"/>
      <c r="J98" s="369"/>
      <c r="K98" s="369"/>
      <c r="L98" s="369"/>
      <c r="M98" s="369"/>
      <c r="N98" s="369"/>
      <c r="O98" s="369"/>
    </row>
    <row r="99" spans="6:15" x14ac:dyDescent="0.25">
      <c r="F99" s="369"/>
      <c r="G99" s="369"/>
      <c r="H99" s="369"/>
      <c r="I99" s="369"/>
      <c r="J99" s="369"/>
      <c r="K99" s="369"/>
      <c r="L99" s="369"/>
      <c r="M99" s="369"/>
      <c r="N99" s="369"/>
      <c r="O99" s="369"/>
    </row>
  </sheetData>
  <mergeCells count="32">
    <mergeCell ref="AF6:AG6"/>
    <mergeCell ref="AI6:AQ6"/>
    <mergeCell ref="D1:E1"/>
    <mergeCell ref="Y1:Y2"/>
    <mergeCell ref="A6:X6"/>
    <mergeCell ref="Z6:AC6"/>
    <mergeCell ref="AD6:AE6"/>
    <mergeCell ref="X3:Z4"/>
    <mergeCell ref="B86:B88"/>
    <mergeCell ref="C86:C88"/>
    <mergeCell ref="D86:D88"/>
    <mergeCell ref="E86:E88"/>
    <mergeCell ref="F86:F88"/>
    <mergeCell ref="H94:I94"/>
    <mergeCell ref="L94:M94"/>
    <mergeCell ref="H86:H88"/>
    <mergeCell ref="I86:I88"/>
    <mergeCell ref="G86:G88"/>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33"/>
  </sheetPr>
  <dimension ref="A1:AZ96"/>
  <sheetViews>
    <sheetView topLeftCell="A7" zoomScale="70" zoomScaleNormal="70" workbookViewId="0">
      <selection activeCell="AC39" sqref="AC39"/>
    </sheetView>
  </sheetViews>
  <sheetFormatPr defaultColWidth="9.109375" defaultRowHeight="13.2" x14ac:dyDescent="0.25"/>
  <cols>
    <col min="1" max="23" width="7.109375" style="6" customWidth="1"/>
    <col min="24" max="24" width="8.6640625" style="6" customWidth="1"/>
    <col min="25" max="25" width="52.109375" style="6" bestFit="1" customWidth="1"/>
    <col min="26" max="29" width="5.6640625" style="6" customWidth="1"/>
    <col min="30" max="34" width="8.6640625" style="6" customWidth="1"/>
    <col min="35" max="43" width="7.109375" style="6" customWidth="1"/>
    <col min="44" max="16384" width="9.109375" style="6"/>
  </cols>
  <sheetData>
    <row r="1" spans="1:52" ht="15" customHeight="1" x14ac:dyDescent="0.25">
      <c r="A1" s="120" t="s">
        <v>48</v>
      </c>
      <c r="B1" s="3"/>
      <c r="C1" s="3"/>
      <c r="D1" s="433">
        <v>90519</v>
      </c>
      <c r="E1" s="434"/>
      <c r="F1" s="4"/>
      <c r="G1" s="4"/>
      <c r="H1" s="4"/>
      <c r="I1" s="4"/>
      <c r="K1" s="4"/>
      <c r="L1" s="4"/>
      <c r="M1" s="4"/>
      <c r="N1" s="4"/>
      <c r="O1" s="4"/>
      <c r="P1" s="4"/>
      <c r="Q1" s="4"/>
      <c r="R1" s="4"/>
      <c r="S1" s="4"/>
      <c r="T1" s="4"/>
      <c r="U1" s="4"/>
      <c r="V1" s="5"/>
      <c r="W1" s="5"/>
      <c r="X1" s="5"/>
      <c r="Y1" s="417" t="s">
        <v>73</v>
      </c>
      <c r="Z1" s="5"/>
      <c r="AA1" s="5"/>
      <c r="AB1" s="5"/>
      <c r="AC1" s="5"/>
      <c r="AD1" s="4"/>
      <c r="AE1" s="4"/>
      <c r="AF1" s="4"/>
      <c r="AG1" s="4"/>
      <c r="AH1" s="4"/>
      <c r="AI1" s="4"/>
      <c r="AJ1" s="4"/>
      <c r="AK1" s="4"/>
      <c r="AL1" s="4"/>
      <c r="AM1" s="4"/>
      <c r="AN1" s="4"/>
      <c r="AO1" s="4"/>
      <c r="AP1" s="4"/>
      <c r="AQ1" s="4"/>
    </row>
    <row r="2" spans="1:52" ht="15" customHeight="1" x14ac:dyDescent="0.25">
      <c r="A2" s="121" t="s">
        <v>50</v>
      </c>
      <c r="B2" s="4"/>
      <c r="C2" s="4"/>
      <c r="D2" s="248">
        <v>92.61</v>
      </c>
      <c r="E2" s="123" t="s">
        <v>49</v>
      </c>
      <c r="F2" s="4"/>
      <c r="G2" s="4"/>
      <c r="H2" s="4"/>
      <c r="I2" s="4"/>
      <c r="J2" s="4"/>
      <c r="K2" s="4"/>
      <c r="L2" s="4"/>
      <c r="M2" s="4"/>
      <c r="N2" s="4"/>
      <c r="O2" s="4"/>
      <c r="P2" s="4"/>
      <c r="Q2" s="4"/>
      <c r="R2" s="4"/>
      <c r="S2" s="4"/>
      <c r="T2" s="4"/>
      <c r="U2" s="4"/>
      <c r="V2" s="5"/>
      <c r="W2" s="5"/>
      <c r="X2" s="5"/>
      <c r="Y2" s="417"/>
      <c r="Z2" s="5"/>
      <c r="AA2" s="5"/>
      <c r="AB2" s="5"/>
      <c r="AC2" s="5"/>
      <c r="AD2" s="4"/>
      <c r="AE2" s="4"/>
      <c r="AF2" s="4"/>
      <c r="AG2" s="4"/>
      <c r="AH2" s="4"/>
      <c r="AI2" s="4"/>
      <c r="AJ2" s="4"/>
      <c r="AK2" s="4"/>
      <c r="AL2" s="4"/>
      <c r="AM2" s="4"/>
      <c r="AN2" s="4"/>
      <c r="AO2" s="4"/>
      <c r="AP2" s="4"/>
      <c r="AQ2" s="4"/>
    </row>
    <row r="3" spans="1:52" ht="15" customHeight="1" thickBot="1" x14ac:dyDescent="0.3">
      <c r="A3" s="125" t="s">
        <v>46</v>
      </c>
      <c r="B3" s="7"/>
      <c r="C3" s="7"/>
      <c r="D3" s="7" t="s">
        <v>47</v>
      </c>
      <c r="E3" s="8"/>
      <c r="F3" s="4"/>
      <c r="G3" s="4"/>
      <c r="H3" s="4"/>
      <c r="I3" s="4"/>
      <c r="J3" s="4"/>
      <c r="K3" s="4"/>
      <c r="L3" s="4"/>
      <c r="M3" s="4"/>
      <c r="N3" s="4"/>
      <c r="O3" s="4"/>
      <c r="P3" s="4"/>
      <c r="Q3" s="4"/>
      <c r="R3" s="4"/>
      <c r="S3" s="4"/>
      <c r="T3" s="4"/>
      <c r="U3" s="4"/>
      <c r="V3" s="5"/>
      <c r="W3" s="5"/>
      <c r="X3" s="418" t="s">
        <v>264</v>
      </c>
      <c r="Y3" s="418"/>
      <c r="Z3" s="418"/>
      <c r="AA3" s="5"/>
      <c r="AB3" s="5"/>
      <c r="AC3" s="5"/>
      <c r="AD3" s="4"/>
      <c r="AE3" s="4"/>
      <c r="AF3" s="4"/>
      <c r="AG3" s="4"/>
      <c r="AH3" s="4"/>
      <c r="AI3" s="4"/>
      <c r="AJ3" s="4"/>
      <c r="AK3" s="4"/>
      <c r="AL3" s="4"/>
      <c r="AM3" s="4"/>
      <c r="AN3" s="4"/>
      <c r="AO3" s="4"/>
      <c r="AP3" s="4"/>
      <c r="AQ3" s="4"/>
    </row>
    <row r="4" spans="1:52" ht="15" customHeight="1" x14ac:dyDescent="0.25">
      <c r="A4" s="4"/>
      <c r="B4" s="4"/>
      <c r="C4" s="4"/>
      <c r="D4" s="4"/>
      <c r="E4" s="4"/>
      <c r="F4" s="4"/>
      <c r="G4" s="4"/>
      <c r="H4" s="4"/>
      <c r="I4" s="4"/>
      <c r="J4" s="4"/>
      <c r="K4" s="4"/>
      <c r="L4" s="4"/>
      <c r="M4" s="4"/>
      <c r="N4" s="4"/>
      <c r="O4" s="4"/>
      <c r="P4" s="4"/>
      <c r="Q4" s="4"/>
      <c r="R4" s="4"/>
      <c r="S4" s="4"/>
      <c r="T4" s="4"/>
      <c r="U4" s="4"/>
      <c r="V4" s="5"/>
      <c r="W4" s="5"/>
      <c r="X4" s="418"/>
      <c r="Y4" s="418"/>
      <c r="Z4" s="418"/>
      <c r="AA4" s="5"/>
      <c r="AB4" s="5"/>
      <c r="AC4" s="5"/>
      <c r="AD4" s="4"/>
      <c r="AE4" s="4"/>
      <c r="AF4" s="4"/>
      <c r="AG4" s="4"/>
      <c r="AH4" s="4"/>
      <c r="AI4" s="4"/>
      <c r="AJ4" s="4"/>
      <c r="AK4" s="4"/>
      <c r="AL4" s="4"/>
      <c r="AM4" s="4"/>
      <c r="AN4" s="4"/>
      <c r="AO4" s="4"/>
      <c r="AP4" s="4"/>
      <c r="AQ4" s="4"/>
    </row>
    <row r="5" spans="1:52" ht="15" customHeight="1" x14ac:dyDescent="0.25">
      <c r="A5" s="4"/>
      <c r="B5" s="4"/>
      <c r="C5" s="4"/>
      <c r="D5" s="4"/>
      <c r="E5" s="4"/>
      <c r="F5" s="4"/>
      <c r="G5" s="4"/>
      <c r="H5" s="4"/>
      <c r="I5" s="4"/>
      <c r="J5" s="4"/>
      <c r="K5" s="4"/>
      <c r="L5" s="4"/>
      <c r="M5" s="4"/>
      <c r="N5" s="4"/>
      <c r="O5" s="4"/>
      <c r="P5" s="4"/>
      <c r="Q5" s="4"/>
      <c r="R5" s="4"/>
      <c r="S5" s="4"/>
      <c r="T5" s="4"/>
      <c r="U5" s="4"/>
      <c r="V5" s="4"/>
      <c r="W5" s="4"/>
      <c r="X5" s="4"/>
      <c r="Z5" s="4"/>
      <c r="AA5" s="4"/>
      <c r="AB5" s="4"/>
      <c r="AC5" s="4"/>
      <c r="AD5" s="4"/>
      <c r="AE5" s="4"/>
      <c r="AF5" s="4"/>
      <c r="AG5" s="4"/>
      <c r="AH5" s="4"/>
      <c r="AI5" s="4"/>
      <c r="AJ5" s="4"/>
      <c r="AK5" s="4"/>
      <c r="AL5" s="4"/>
      <c r="AM5" s="4"/>
      <c r="AN5" s="4"/>
      <c r="AO5" s="4"/>
      <c r="AP5" s="4"/>
      <c r="AQ5" s="4"/>
    </row>
    <row r="6" spans="1:52" ht="15" customHeight="1" x14ac:dyDescent="0.3">
      <c r="A6" s="429" t="s">
        <v>0</v>
      </c>
      <c r="B6" s="429"/>
      <c r="C6" s="429"/>
      <c r="D6" s="429"/>
      <c r="E6" s="429"/>
      <c r="F6" s="429"/>
      <c r="G6" s="429"/>
      <c r="H6" s="429"/>
      <c r="I6" s="429"/>
      <c r="J6" s="429"/>
      <c r="K6" s="429"/>
      <c r="L6" s="429"/>
      <c r="M6" s="429"/>
      <c r="N6" s="429"/>
      <c r="O6" s="429"/>
      <c r="P6" s="429"/>
      <c r="Q6" s="429"/>
      <c r="R6" s="429"/>
      <c r="S6" s="429"/>
      <c r="T6" s="429"/>
      <c r="U6" s="429"/>
      <c r="V6" s="429"/>
      <c r="W6" s="429"/>
      <c r="X6" s="429"/>
      <c r="Y6" s="275" t="s">
        <v>51</v>
      </c>
      <c r="Z6" s="429" t="s">
        <v>104</v>
      </c>
      <c r="AA6" s="429"/>
      <c r="AB6" s="429"/>
      <c r="AC6" s="429"/>
      <c r="AD6" s="429" t="s">
        <v>53</v>
      </c>
      <c r="AE6" s="429"/>
      <c r="AF6" s="429" t="s">
        <v>52</v>
      </c>
      <c r="AG6" s="429"/>
      <c r="AH6" s="126"/>
      <c r="AI6" s="429" t="s">
        <v>1</v>
      </c>
      <c r="AJ6" s="429"/>
      <c r="AK6" s="429"/>
      <c r="AL6" s="429"/>
      <c r="AM6" s="429"/>
      <c r="AN6" s="429"/>
      <c r="AO6" s="429"/>
      <c r="AP6" s="429"/>
      <c r="AQ6" s="429"/>
    </row>
    <row r="7" spans="1:52" s="9" customFormat="1" ht="159.9" customHeight="1" thickBot="1" x14ac:dyDescent="0.8">
      <c r="A7" s="127" t="s">
        <v>74</v>
      </c>
      <c r="B7" s="128" t="s">
        <v>75</v>
      </c>
      <c r="C7" s="128" t="s">
        <v>76</v>
      </c>
      <c r="D7" s="128" t="s">
        <v>77</v>
      </c>
      <c r="E7" s="128" t="s">
        <v>78</v>
      </c>
      <c r="F7" s="128" t="s">
        <v>79</v>
      </c>
      <c r="G7" s="128" t="s">
        <v>80</v>
      </c>
      <c r="H7" s="128" t="s">
        <v>81</v>
      </c>
      <c r="I7" s="128" t="s">
        <v>82</v>
      </c>
      <c r="J7" s="128" t="s">
        <v>83</v>
      </c>
      <c r="K7" s="128" t="s">
        <v>84</v>
      </c>
      <c r="L7" s="128" t="s">
        <v>85</v>
      </c>
      <c r="M7" s="128" t="s">
        <v>86</v>
      </c>
      <c r="N7" s="128" t="s">
        <v>87</v>
      </c>
      <c r="O7" s="128" t="s">
        <v>88</v>
      </c>
      <c r="P7" s="128" t="s">
        <v>89</v>
      </c>
      <c r="Q7" s="128" t="s">
        <v>90</v>
      </c>
      <c r="R7" s="128" t="s">
        <v>91</v>
      </c>
      <c r="S7" s="128" t="s">
        <v>92</v>
      </c>
      <c r="T7" s="128" t="s">
        <v>93</v>
      </c>
      <c r="U7" s="128" t="s">
        <v>94</v>
      </c>
      <c r="V7" s="128" t="s">
        <v>95</v>
      </c>
      <c r="W7" s="128" t="s">
        <v>96</v>
      </c>
      <c r="X7" s="129" t="s">
        <v>97</v>
      </c>
      <c r="Y7" s="130"/>
      <c r="Z7" s="131" t="s">
        <v>98</v>
      </c>
      <c r="AA7" s="128" t="s">
        <v>99</v>
      </c>
      <c r="AB7" s="128" t="s">
        <v>100</v>
      </c>
      <c r="AC7" s="129" t="s">
        <v>101</v>
      </c>
      <c r="AD7" s="127" t="s">
        <v>102</v>
      </c>
      <c r="AE7" s="129" t="s">
        <v>103</v>
      </c>
      <c r="AF7" s="127" t="s">
        <v>102</v>
      </c>
      <c r="AG7" s="129" t="s">
        <v>103</v>
      </c>
      <c r="AH7" s="132" t="s">
        <v>105</v>
      </c>
      <c r="AI7" s="133" t="s">
        <v>106</v>
      </c>
      <c r="AJ7" s="128" t="s">
        <v>107</v>
      </c>
      <c r="AK7" s="128" t="s">
        <v>108</v>
      </c>
      <c r="AL7" s="128" t="s">
        <v>109</v>
      </c>
      <c r="AM7" s="128" t="s">
        <v>110</v>
      </c>
      <c r="AN7" s="128" t="s">
        <v>111</v>
      </c>
      <c r="AO7" s="134" t="s">
        <v>112</v>
      </c>
      <c r="AP7" s="134" t="s">
        <v>113</v>
      </c>
      <c r="AQ7" s="129" t="s">
        <v>114</v>
      </c>
    </row>
    <row r="8" spans="1:52" ht="15" customHeight="1" x14ac:dyDescent="0.25">
      <c r="A8" s="135"/>
      <c r="B8" s="136"/>
      <c r="C8" s="136"/>
      <c r="D8" s="136"/>
      <c r="E8" s="136"/>
      <c r="F8" s="136"/>
      <c r="G8" s="136"/>
      <c r="H8" s="136"/>
      <c r="I8" s="136"/>
      <c r="J8" s="136"/>
      <c r="K8" s="136"/>
      <c r="L8" s="136"/>
      <c r="M8" s="136"/>
      <c r="N8" s="136"/>
      <c r="O8" s="136"/>
      <c r="P8" s="136"/>
      <c r="Q8" s="136"/>
      <c r="R8" s="136"/>
      <c r="S8" s="136"/>
      <c r="T8" s="136"/>
      <c r="U8" s="136"/>
      <c r="V8" s="136"/>
      <c r="W8" s="136"/>
      <c r="X8" s="137">
        <f t="shared" ref="X8:X80" si="0">SUM(A8:W8)</f>
        <v>0</v>
      </c>
      <c r="Y8" s="138" t="s">
        <v>3</v>
      </c>
      <c r="Z8" s="135"/>
      <c r="AA8" s="136">
        <v>44</v>
      </c>
      <c r="AB8" s="136"/>
      <c r="AC8" s="137"/>
      <c r="AD8" s="135">
        <f t="shared" ref="AD8:AD14" si="1">-AE8/$D$2%</f>
        <v>-68.714354428640135</v>
      </c>
      <c r="AE8" s="139">
        <f>AH8/AA8%</f>
        <v>63.636363636363633</v>
      </c>
      <c r="AF8" s="140"/>
      <c r="AG8" s="139"/>
      <c r="AH8" s="141">
        <f t="shared" ref="AH8:AH14" si="2">SUM(AI8:AQ8)</f>
        <v>28</v>
      </c>
      <c r="AI8" s="144">
        <v>28</v>
      </c>
      <c r="AJ8" s="254">
        <v>0</v>
      </c>
      <c r="AK8" s="254">
        <v>0</v>
      </c>
      <c r="AL8" s="254">
        <v>0</v>
      </c>
      <c r="AM8" s="254">
        <v>0</v>
      </c>
      <c r="AN8" s="254">
        <v>0</v>
      </c>
      <c r="AO8" s="254">
        <v>0</v>
      </c>
      <c r="AP8" s="254">
        <v>0</v>
      </c>
      <c r="AQ8" s="255">
        <v>0</v>
      </c>
      <c r="AR8" s="19"/>
      <c r="AS8" s="19"/>
      <c r="AT8" s="19"/>
      <c r="AU8" s="19"/>
      <c r="AV8" s="19"/>
      <c r="AW8" s="19"/>
      <c r="AX8" s="19"/>
      <c r="AY8" s="19"/>
      <c r="AZ8" s="19"/>
    </row>
    <row r="9" spans="1:52" ht="15" customHeight="1" x14ac:dyDescent="0.25">
      <c r="A9" s="135"/>
      <c r="B9" s="136"/>
      <c r="C9" s="136"/>
      <c r="D9" s="136"/>
      <c r="E9" s="136"/>
      <c r="F9" s="136"/>
      <c r="G9" s="136"/>
      <c r="H9" s="136"/>
      <c r="I9" s="136"/>
      <c r="J9" s="136"/>
      <c r="K9" s="136"/>
      <c r="L9" s="136"/>
      <c r="M9" s="136"/>
      <c r="N9" s="136"/>
      <c r="O9" s="136"/>
      <c r="P9" s="136"/>
      <c r="Q9" s="136"/>
      <c r="R9" s="136"/>
      <c r="S9" s="136"/>
      <c r="T9" s="136"/>
      <c r="U9" s="136"/>
      <c r="V9" s="136"/>
      <c r="W9" s="136"/>
      <c r="X9" s="137">
        <f t="shared" si="0"/>
        <v>0</v>
      </c>
      <c r="Y9" s="138" t="s">
        <v>4</v>
      </c>
      <c r="Z9" s="135"/>
      <c r="AA9" s="136"/>
      <c r="AB9" s="136">
        <v>90</v>
      </c>
      <c r="AC9" s="137"/>
      <c r="AD9" s="135">
        <f t="shared" si="1"/>
        <v>-12.801593300459514</v>
      </c>
      <c r="AE9" s="139">
        <f>AH9/AB9%</f>
        <v>11.855555555555556</v>
      </c>
      <c r="AF9" s="140"/>
      <c r="AG9" s="139"/>
      <c r="AH9" s="141">
        <f t="shared" si="2"/>
        <v>10.67</v>
      </c>
      <c r="AI9" s="256">
        <v>10.67</v>
      </c>
      <c r="AJ9" s="254">
        <v>0</v>
      </c>
      <c r="AK9" s="254">
        <v>0</v>
      </c>
      <c r="AL9" s="254">
        <v>0</v>
      </c>
      <c r="AM9" s="254">
        <v>0</v>
      </c>
      <c r="AN9" s="254">
        <v>0</v>
      </c>
      <c r="AO9" s="254">
        <v>0</v>
      </c>
      <c r="AP9" s="254">
        <v>0</v>
      </c>
      <c r="AQ9" s="255">
        <v>0</v>
      </c>
      <c r="AR9" s="19"/>
      <c r="AS9" s="19"/>
      <c r="AT9" s="19"/>
      <c r="AU9" s="19"/>
      <c r="AV9" s="19"/>
      <c r="AW9" s="19"/>
      <c r="AX9" s="19"/>
      <c r="AY9" s="19"/>
      <c r="AZ9" s="19"/>
    </row>
    <row r="10" spans="1:52" ht="15" customHeight="1" x14ac:dyDescent="0.25">
      <c r="A10" s="135"/>
      <c r="B10" s="136"/>
      <c r="C10" s="136"/>
      <c r="D10" s="136"/>
      <c r="E10" s="136"/>
      <c r="F10" s="136"/>
      <c r="G10" s="136"/>
      <c r="H10" s="136"/>
      <c r="I10" s="136"/>
      <c r="J10" s="136"/>
      <c r="K10" s="136"/>
      <c r="L10" s="136"/>
      <c r="M10" s="136"/>
      <c r="N10" s="136"/>
      <c r="O10" s="136"/>
      <c r="P10" s="136"/>
      <c r="Q10" s="136"/>
      <c r="R10" s="136"/>
      <c r="S10" s="136"/>
      <c r="T10" s="136"/>
      <c r="U10" s="136"/>
      <c r="V10" s="136"/>
      <c r="W10" s="136"/>
      <c r="X10" s="137">
        <f t="shared" si="0"/>
        <v>0</v>
      </c>
      <c r="Y10" s="138" t="s">
        <v>5</v>
      </c>
      <c r="Z10" s="135"/>
      <c r="AA10" s="136"/>
      <c r="AB10" s="136">
        <v>100</v>
      </c>
      <c r="AC10" s="137"/>
      <c r="AD10" s="135">
        <f t="shared" si="1"/>
        <v>-54.335384947629841</v>
      </c>
      <c r="AE10" s="139">
        <f>AH10/AB10%</f>
        <v>50.32</v>
      </c>
      <c r="AF10" s="140"/>
      <c r="AG10" s="139"/>
      <c r="AH10" s="141">
        <f t="shared" si="2"/>
        <v>50.32</v>
      </c>
      <c r="AI10" s="256">
        <v>50.32</v>
      </c>
      <c r="AJ10" s="254">
        <v>0</v>
      </c>
      <c r="AK10" s="254">
        <v>0</v>
      </c>
      <c r="AL10" s="254">
        <v>0</v>
      </c>
      <c r="AM10" s="254">
        <v>0</v>
      </c>
      <c r="AN10" s="254">
        <v>0</v>
      </c>
      <c r="AO10" s="254">
        <v>0</v>
      </c>
      <c r="AP10" s="254">
        <v>0</v>
      </c>
      <c r="AQ10" s="255">
        <v>0</v>
      </c>
      <c r="AR10" s="19"/>
      <c r="AS10" s="19"/>
      <c r="AT10" s="19"/>
      <c r="AU10" s="19"/>
      <c r="AV10" s="19"/>
      <c r="AW10" s="19"/>
      <c r="AX10" s="19"/>
      <c r="AY10" s="19"/>
      <c r="AZ10" s="19"/>
    </row>
    <row r="11" spans="1:52" ht="15" customHeight="1" x14ac:dyDescent="0.25">
      <c r="A11" s="135"/>
      <c r="B11" s="136"/>
      <c r="C11" s="136"/>
      <c r="D11" s="136"/>
      <c r="E11" s="136"/>
      <c r="F11" s="136"/>
      <c r="G11" s="136"/>
      <c r="H11" s="136"/>
      <c r="I11" s="136"/>
      <c r="J11" s="136"/>
      <c r="K11" s="136"/>
      <c r="L11" s="136"/>
      <c r="M11" s="136"/>
      <c r="N11" s="136"/>
      <c r="O11" s="136"/>
      <c r="P11" s="136"/>
      <c r="Q11" s="136"/>
      <c r="R11" s="136"/>
      <c r="S11" s="136"/>
      <c r="T11" s="136"/>
      <c r="U11" s="136"/>
      <c r="V11" s="136"/>
      <c r="W11" s="136"/>
      <c r="X11" s="137">
        <f t="shared" si="0"/>
        <v>0</v>
      </c>
      <c r="Y11" s="138" t="s">
        <v>18</v>
      </c>
      <c r="Z11" s="135"/>
      <c r="AA11" s="136">
        <v>50</v>
      </c>
      <c r="AB11" s="136"/>
      <c r="AC11" s="137"/>
      <c r="AD11" s="135">
        <f t="shared" si="1"/>
        <v>-206.56516574883923</v>
      </c>
      <c r="AE11" s="139">
        <f>AH11/AA11%</f>
        <v>191.3</v>
      </c>
      <c r="AF11" s="140"/>
      <c r="AG11" s="139"/>
      <c r="AH11" s="141">
        <f t="shared" si="2"/>
        <v>95.65</v>
      </c>
      <c r="AI11" s="256">
        <v>31.82</v>
      </c>
      <c r="AJ11" s="254">
        <v>21.12</v>
      </c>
      <c r="AK11" s="254">
        <v>9.1</v>
      </c>
      <c r="AL11" s="254">
        <v>16.399999999999999</v>
      </c>
      <c r="AM11" s="254">
        <v>0.3</v>
      </c>
      <c r="AN11" s="254">
        <v>10.4</v>
      </c>
      <c r="AO11" s="254">
        <v>0.11</v>
      </c>
      <c r="AP11" s="254">
        <v>6.4</v>
      </c>
      <c r="AQ11" s="255">
        <v>0</v>
      </c>
      <c r="AR11" s="19"/>
      <c r="AS11" s="19"/>
      <c r="AT11" s="19"/>
      <c r="AU11" s="19"/>
      <c r="AV11" s="19"/>
      <c r="AW11" s="19"/>
      <c r="AX11" s="19"/>
      <c r="AY11" s="19"/>
      <c r="AZ11" s="19"/>
    </row>
    <row r="12" spans="1:52" ht="15" customHeight="1" x14ac:dyDescent="0.25">
      <c r="A12" s="135"/>
      <c r="B12" s="136"/>
      <c r="C12" s="136"/>
      <c r="D12" s="136"/>
      <c r="E12" s="136"/>
      <c r="F12" s="136"/>
      <c r="G12" s="136"/>
      <c r="H12" s="136"/>
      <c r="I12" s="136"/>
      <c r="J12" s="136"/>
      <c r="K12" s="136"/>
      <c r="L12" s="136"/>
      <c r="M12" s="136"/>
      <c r="N12" s="136"/>
      <c r="O12" s="136"/>
      <c r="P12" s="136"/>
      <c r="Q12" s="136"/>
      <c r="R12" s="136"/>
      <c r="S12" s="136"/>
      <c r="T12" s="136"/>
      <c r="U12" s="136"/>
      <c r="V12" s="136"/>
      <c r="W12" s="136"/>
      <c r="X12" s="137">
        <f t="shared" si="0"/>
        <v>0</v>
      </c>
      <c r="Y12" s="138" t="s">
        <v>19</v>
      </c>
      <c r="Z12" s="135"/>
      <c r="AA12" s="136">
        <v>150</v>
      </c>
      <c r="AB12" s="136"/>
      <c r="AC12" s="137"/>
      <c r="AD12" s="135">
        <f t="shared" si="1"/>
        <v>-176.42443220674514</v>
      </c>
      <c r="AE12" s="139">
        <f>AH12/AA12%</f>
        <v>163.38666666666668</v>
      </c>
      <c r="AF12" s="140"/>
      <c r="AG12" s="139"/>
      <c r="AH12" s="141">
        <f t="shared" si="2"/>
        <v>245.08</v>
      </c>
      <c r="AI12" s="256">
        <v>112.7</v>
      </c>
      <c r="AJ12" s="254">
        <v>0</v>
      </c>
      <c r="AK12" s="254">
        <v>30.58</v>
      </c>
      <c r="AL12" s="254">
        <v>55.1</v>
      </c>
      <c r="AM12" s="254">
        <v>1.18</v>
      </c>
      <c r="AN12" s="254">
        <v>41.61</v>
      </c>
      <c r="AO12" s="254">
        <v>7.0000000000000007E-2</v>
      </c>
      <c r="AP12" s="254">
        <v>3.84</v>
      </c>
      <c r="AQ12" s="255">
        <v>0</v>
      </c>
      <c r="AR12" s="19"/>
      <c r="AS12" s="19"/>
      <c r="AT12" s="19"/>
      <c r="AU12" s="19"/>
      <c r="AV12" s="19"/>
      <c r="AW12" s="19"/>
      <c r="AX12" s="19"/>
      <c r="AY12" s="19"/>
      <c r="AZ12" s="19"/>
    </row>
    <row r="13" spans="1:52" ht="15" customHeight="1" x14ac:dyDescent="0.25">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7">
        <f t="shared" si="0"/>
        <v>0</v>
      </c>
      <c r="Y13" s="138" t="s">
        <v>71</v>
      </c>
      <c r="Z13" s="135"/>
      <c r="AA13" s="136">
        <v>85</v>
      </c>
      <c r="AB13" s="136"/>
      <c r="AC13" s="137"/>
      <c r="AD13" s="135">
        <f t="shared" si="1"/>
        <v>-859.62003849158702</v>
      </c>
      <c r="AE13" s="139">
        <f>AH13/AA13%</f>
        <v>796.09411764705874</v>
      </c>
      <c r="AF13" s="140"/>
      <c r="AG13" s="139"/>
      <c r="AH13" s="141">
        <f t="shared" si="2"/>
        <v>676.68</v>
      </c>
      <c r="AI13" s="256">
        <v>176.93</v>
      </c>
      <c r="AJ13" s="254">
        <v>97.09</v>
      </c>
      <c r="AK13" s="254">
        <v>29.08</v>
      </c>
      <c r="AL13" s="254">
        <v>52.41</v>
      </c>
      <c r="AM13" s="254">
        <v>7.19</v>
      </c>
      <c r="AN13" s="254">
        <v>253.45</v>
      </c>
      <c r="AO13" s="254">
        <v>1.04</v>
      </c>
      <c r="AP13" s="254">
        <v>59.48</v>
      </c>
      <c r="AQ13" s="255">
        <v>0.01</v>
      </c>
      <c r="AR13" s="19"/>
      <c r="AS13" s="19"/>
      <c r="AT13" s="19"/>
      <c r="AU13" s="19"/>
      <c r="AV13" s="19"/>
      <c r="AW13" s="19"/>
      <c r="AX13" s="19"/>
      <c r="AY13" s="19"/>
      <c r="AZ13" s="19"/>
    </row>
    <row r="14" spans="1:52" ht="15" customHeight="1" x14ac:dyDescent="0.25">
      <c r="A14" s="135"/>
      <c r="B14" s="144"/>
      <c r="C14" s="136"/>
      <c r="D14" s="136"/>
      <c r="E14" s="136"/>
      <c r="F14" s="136"/>
      <c r="G14" s="136"/>
      <c r="H14" s="136"/>
      <c r="I14" s="136"/>
      <c r="J14" s="136"/>
      <c r="K14" s="136"/>
      <c r="L14" s="136"/>
      <c r="M14" s="136"/>
      <c r="N14" s="136">
        <f>AH14-AE14</f>
        <v>0</v>
      </c>
      <c r="O14" s="136"/>
      <c r="P14" s="136"/>
      <c r="Q14" s="136"/>
      <c r="R14" s="136"/>
      <c r="S14" s="136"/>
      <c r="T14" s="136"/>
      <c r="U14" s="136"/>
      <c r="V14" s="136"/>
      <c r="W14" s="136"/>
      <c r="X14" s="137">
        <f t="shared" si="0"/>
        <v>0</v>
      </c>
      <c r="Y14" s="138" t="s">
        <v>54</v>
      </c>
      <c r="Z14" s="135"/>
      <c r="AA14" s="136"/>
      <c r="AB14" s="136">
        <v>250</v>
      </c>
      <c r="AC14" s="137"/>
      <c r="AD14" s="135">
        <f t="shared" si="1"/>
        <v>0</v>
      </c>
      <c r="AE14" s="255">
        <v>0</v>
      </c>
      <c r="AF14" s="140"/>
      <c r="AG14" s="139"/>
      <c r="AH14" s="141">
        <f t="shared" si="2"/>
        <v>0</v>
      </c>
      <c r="AI14" s="145">
        <f>AE14*AB14/100</f>
        <v>0</v>
      </c>
      <c r="AJ14" s="144"/>
      <c r="AK14" s="144"/>
      <c r="AL14" s="144"/>
      <c r="AM14" s="144"/>
      <c r="AN14" s="144"/>
      <c r="AO14" s="144"/>
      <c r="AP14" s="144"/>
      <c r="AQ14" s="139"/>
      <c r="AV14" s="11"/>
    </row>
    <row r="15" spans="1:52" ht="15" customHeight="1" x14ac:dyDescent="0.25">
      <c r="A15" s="135">
        <f>Z15%*AD15</f>
        <v>927.241061863901</v>
      </c>
      <c r="B15" s="144"/>
      <c r="C15" s="136"/>
      <c r="D15" s="136"/>
      <c r="E15" s="136"/>
      <c r="F15" s="136"/>
      <c r="G15" s="136"/>
      <c r="H15" s="136"/>
      <c r="I15" s="136"/>
      <c r="J15" s="136"/>
      <c r="K15" s="136"/>
      <c r="L15" s="136"/>
      <c r="M15" s="136"/>
      <c r="N15" s="136"/>
      <c r="O15" s="136"/>
      <c r="P15" s="136"/>
      <c r="Q15" s="136"/>
      <c r="R15" s="136"/>
      <c r="S15" s="136"/>
      <c r="T15" s="136"/>
      <c r="U15" s="136"/>
      <c r="V15" s="136"/>
      <c r="W15" s="136"/>
      <c r="X15" s="137">
        <f t="shared" si="0"/>
        <v>927.241061863901</v>
      </c>
      <c r="Y15" s="138" t="s">
        <v>34</v>
      </c>
      <c r="Z15" s="135">
        <v>100</v>
      </c>
      <c r="AA15" s="136"/>
      <c r="AB15" s="136"/>
      <c r="AC15" s="137"/>
      <c r="AD15" s="135">
        <f>-SUM(AD16:AD80,AD8:AD14)</f>
        <v>927.241061863901</v>
      </c>
      <c r="AE15" s="137"/>
      <c r="AF15" s="135"/>
      <c r="AG15" s="137"/>
      <c r="AH15" s="108">
        <f t="shared" ref="AH15:AH52" si="3">SUM(AI15:AQ15)</f>
        <v>0</v>
      </c>
      <c r="AI15" s="135"/>
      <c r="AJ15" s="136"/>
      <c r="AK15" s="136"/>
      <c r="AL15" s="136"/>
      <c r="AM15" s="136"/>
      <c r="AN15" s="136"/>
      <c r="AO15" s="136"/>
      <c r="AP15" s="136"/>
      <c r="AQ15" s="137"/>
      <c r="AV15" s="11"/>
    </row>
    <row r="16" spans="1:52" ht="15" customHeight="1" x14ac:dyDescent="0.25">
      <c r="A16" s="150"/>
      <c r="B16" s="257">
        <v>164.77</v>
      </c>
      <c r="C16" s="147"/>
      <c r="D16" s="147"/>
      <c r="E16" s="148"/>
      <c r="F16" s="148"/>
      <c r="G16" s="148"/>
      <c r="H16" s="148"/>
      <c r="I16" s="148"/>
      <c r="J16" s="147"/>
      <c r="K16" s="147"/>
      <c r="L16" s="147"/>
      <c r="M16" s="147"/>
      <c r="N16" s="147"/>
      <c r="O16" s="147"/>
      <c r="P16" s="147"/>
      <c r="Q16" s="147"/>
      <c r="R16" s="147"/>
      <c r="S16" s="147"/>
      <c r="T16" s="147"/>
      <c r="U16" s="147"/>
      <c r="V16" s="147"/>
      <c r="W16" s="147"/>
      <c r="X16" s="151">
        <f t="shared" si="0"/>
        <v>164.77</v>
      </c>
      <c r="Y16" s="149" t="s">
        <v>72</v>
      </c>
      <c r="Z16" s="150"/>
      <c r="AA16" s="147"/>
      <c r="AB16" s="148">
        <v>38</v>
      </c>
      <c r="AC16" s="151"/>
      <c r="AD16" s="150"/>
      <c r="AE16" s="151"/>
      <c r="AF16" s="150"/>
      <c r="AG16" s="151"/>
      <c r="AH16" s="108">
        <f t="shared" si="3"/>
        <v>62.481113539999996</v>
      </c>
      <c r="AI16" s="258">
        <f>X16*AB16/100*0.158</f>
        <v>9.8927908000000002</v>
      </c>
      <c r="AJ16" s="259">
        <f>X16*AB16/100*0.0067</f>
        <v>0.41950442000000004</v>
      </c>
      <c r="AK16" s="259">
        <f>X16*AB16/100*0.01</f>
        <v>0.62612600000000007</v>
      </c>
      <c r="AL16" s="259">
        <f>X16*AB16/100*0.0022</f>
        <v>0.13774772000000002</v>
      </c>
      <c r="AM16" s="259">
        <f>X16*AB16/100*0.118</f>
        <v>7.3882867999999995</v>
      </c>
      <c r="AN16" s="259">
        <f>X16*AB16/100*0.479</f>
        <v>29.9914354</v>
      </c>
      <c r="AO16" s="259"/>
      <c r="AP16" s="259">
        <f>X16*AB16/100*0.115</f>
        <v>7.2004490000000008</v>
      </c>
      <c r="AQ16" s="260">
        <f>X16*AB16/100*0.109</f>
        <v>6.8247733999999998</v>
      </c>
      <c r="AV16" s="11"/>
    </row>
    <row r="17" spans="1:48" ht="15" customHeight="1" x14ac:dyDescent="0.25">
      <c r="A17" s="135"/>
      <c r="B17" s="144"/>
      <c r="C17" s="136"/>
      <c r="D17" s="136"/>
      <c r="E17" s="254">
        <v>1661.83</v>
      </c>
      <c r="F17" s="144"/>
      <c r="G17" s="144"/>
      <c r="H17" s="144"/>
      <c r="I17" s="144"/>
      <c r="J17" s="136"/>
      <c r="K17" s="136"/>
      <c r="L17" s="136"/>
      <c r="M17" s="136"/>
      <c r="N17" s="144"/>
      <c r="O17" s="144"/>
      <c r="P17" s="144"/>
      <c r="Q17" s="144"/>
      <c r="R17" s="144"/>
      <c r="S17" s="144"/>
      <c r="T17" s="144"/>
      <c r="U17" s="144"/>
      <c r="V17" s="144"/>
      <c r="W17" s="144"/>
      <c r="X17" s="137">
        <f t="shared" si="0"/>
        <v>1661.83</v>
      </c>
      <c r="Y17" s="138" t="s">
        <v>55</v>
      </c>
      <c r="Z17" s="135"/>
      <c r="AA17" s="136"/>
      <c r="AB17" s="144">
        <v>80</v>
      </c>
      <c r="AC17" s="137"/>
      <c r="AD17" s="135"/>
      <c r="AE17" s="137"/>
      <c r="AF17" s="135"/>
      <c r="AG17" s="137"/>
      <c r="AH17" s="108">
        <f t="shared" si="3"/>
        <v>1329.4639999999999</v>
      </c>
      <c r="AI17" s="153">
        <f t="shared" ref="AI17:AI22" si="4">X17*AB17/100</f>
        <v>1329.4639999999999</v>
      </c>
      <c r="AJ17" s="136"/>
      <c r="AK17" s="136"/>
      <c r="AL17" s="136"/>
      <c r="AM17" s="136"/>
      <c r="AN17" s="136"/>
      <c r="AO17" s="136"/>
      <c r="AP17" s="136"/>
      <c r="AQ17" s="137"/>
      <c r="AS17" s="11"/>
    </row>
    <row r="18" spans="1:48" ht="15" customHeight="1" x14ac:dyDescent="0.25">
      <c r="A18" s="135"/>
      <c r="B18" s="144"/>
      <c r="C18" s="136"/>
      <c r="D18" s="136"/>
      <c r="E18" s="144"/>
      <c r="F18" s="144"/>
      <c r="G18" s="144"/>
      <c r="H18" s="144"/>
      <c r="I18" s="254">
        <v>62.54</v>
      </c>
      <c r="J18" s="136"/>
      <c r="K18" s="136"/>
      <c r="L18" s="136"/>
      <c r="M18" s="136"/>
      <c r="N18" s="144"/>
      <c r="O18" s="144"/>
      <c r="P18" s="144"/>
      <c r="Q18" s="144"/>
      <c r="R18" s="144"/>
      <c r="S18" s="144"/>
      <c r="T18" s="144"/>
      <c r="U18" s="144"/>
      <c r="V18" s="144"/>
      <c r="W18" s="144"/>
      <c r="X18" s="137">
        <f t="shared" si="0"/>
        <v>62.54</v>
      </c>
      <c r="Y18" s="138" t="s">
        <v>56</v>
      </c>
      <c r="Z18" s="135"/>
      <c r="AA18" s="136"/>
      <c r="AB18" s="144">
        <v>85</v>
      </c>
      <c r="AC18" s="137"/>
      <c r="AD18" s="135"/>
      <c r="AE18" s="137"/>
      <c r="AF18" s="135"/>
      <c r="AG18" s="137"/>
      <c r="AH18" s="108">
        <f t="shared" si="3"/>
        <v>53.158999999999999</v>
      </c>
      <c r="AI18" s="153">
        <f t="shared" si="4"/>
        <v>53.158999999999999</v>
      </c>
      <c r="AJ18" s="136"/>
      <c r="AK18" s="136"/>
      <c r="AL18" s="136"/>
      <c r="AM18" s="136"/>
      <c r="AN18" s="136"/>
      <c r="AO18" s="136"/>
      <c r="AP18" s="136"/>
      <c r="AQ18" s="137"/>
      <c r="AS18" s="11"/>
    </row>
    <row r="19" spans="1:48" ht="15" customHeight="1" x14ac:dyDescent="0.25">
      <c r="A19" s="135"/>
      <c r="B19" s="136"/>
      <c r="C19" s="136"/>
      <c r="D19" s="136"/>
      <c r="E19" s="136"/>
      <c r="F19" s="136"/>
      <c r="G19" s="136"/>
      <c r="H19" s="136"/>
      <c r="I19" s="254"/>
      <c r="J19" s="136"/>
      <c r="K19" s="136"/>
      <c r="L19" s="136"/>
      <c r="M19" s="136"/>
      <c r="N19" s="144"/>
      <c r="O19" s="144"/>
      <c r="P19" s="144"/>
      <c r="Q19" s="254"/>
      <c r="R19" s="254"/>
      <c r="S19" s="254">
        <v>3.76</v>
      </c>
      <c r="T19" s="144"/>
      <c r="U19" s="144"/>
      <c r="V19" s="144"/>
      <c r="W19" s="144"/>
      <c r="X19" s="137">
        <f t="shared" si="0"/>
        <v>3.76</v>
      </c>
      <c r="Y19" s="138" t="s">
        <v>57</v>
      </c>
      <c r="Z19" s="135"/>
      <c r="AA19" s="136"/>
      <c r="AB19" s="144">
        <v>75</v>
      </c>
      <c r="AC19" s="137"/>
      <c r="AD19" s="135"/>
      <c r="AE19" s="137"/>
      <c r="AF19" s="135"/>
      <c r="AG19" s="137"/>
      <c r="AH19" s="108">
        <f t="shared" si="3"/>
        <v>2.82</v>
      </c>
      <c r="AI19" s="153">
        <f t="shared" si="4"/>
        <v>2.82</v>
      </c>
      <c r="AJ19" s="136"/>
      <c r="AK19" s="136"/>
      <c r="AL19" s="136"/>
      <c r="AM19" s="136"/>
      <c r="AN19" s="136"/>
      <c r="AO19" s="136"/>
      <c r="AP19" s="136"/>
      <c r="AQ19" s="137"/>
      <c r="AV19" s="11"/>
    </row>
    <row r="20" spans="1:48" ht="15" customHeight="1" x14ac:dyDescent="0.25">
      <c r="A20" s="135"/>
      <c r="B20" s="136"/>
      <c r="C20" s="136"/>
      <c r="D20" s="136"/>
      <c r="E20" s="136"/>
      <c r="F20" s="136"/>
      <c r="G20" s="136"/>
      <c r="H20" s="136"/>
      <c r="I20" s="254"/>
      <c r="J20" s="136"/>
      <c r="K20" s="136"/>
      <c r="L20" s="136"/>
      <c r="M20" s="136"/>
      <c r="N20" s="144"/>
      <c r="O20" s="144"/>
      <c r="P20" s="144"/>
      <c r="Q20" s="254"/>
      <c r="R20" s="254">
        <v>139.28</v>
      </c>
      <c r="S20" s="254"/>
      <c r="T20" s="144"/>
      <c r="U20" s="144"/>
      <c r="V20" s="144"/>
      <c r="W20" s="144"/>
      <c r="X20" s="137">
        <f t="shared" si="0"/>
        <v>139.28</v>
      </c>
      <c r="Y20" s="138" t="s">
        <v>58</v>
      </c>
      <c r="Z20" s="135"/>
      <c r="AA20" s="136"/>
      <c r="AB20" s="144">
        <v>65</v>
      </c>
      <c r="AC20" s="137"/>
      <c r="AD20" s="135"/>
      <c r="AE20" s="137"/>
      <c r="AF20" s="135"/>
      <c r="AG20" s="137"/>
      <c r="AH20" s="108">
        <f t="shared" si="3"/>
        <v>90.532000000000011</v>
      </c>
      <c r="AI20" s="153">
        <f t="shared" si="4"/>
        <v>90.532000000000011</v>
      </c>
      <c r="AJ20" s="136"/>
      <c r="AK20" s="136"/>
      <c r="AL20" s="136"/>
      <c r="AM20" s="136"/>
      <c r="AN20" s="136"/>
      <c r="AO20" s="136"/>
      <c r="AP20" s="136"/>
      <c r="AQ20" s="137"/>
      <c r="AS20" s="11"/>
    </row>
    <row r="21" spans="1:48" ht="15" customHeight="1" x14ac:dyDescent="0.25">
      <c r="A21" s="135"/>
      <c r="B21" s="136"/>
      <c r="C21" s="136"/>
      <c r="D21" s="136"/>
      <c r="E21" s="136"/>
      <c r="F21" s="136"/>
      <c r="G21" s="136"/>
      <c r="H21" s="136"/>
      <c r="I21" s="254"/>
      <c r="J21" s="136"/>
      <c r="K21" s="136"/>
      <c r="L21" s="136"/>
      <c r="M21" s="136"/>
      <c r="N21" s="144"/>
      <c r="O21" s="144"/>
      <c r="P21" s="144"/>
      <c r="Q21" s="254">
        <v>239.9</v>
      </c>
      <c r="R21" s="254"/>
      <c r="S21" s="254"/>
      <c r="T21" s="144"/>
      <c r="U21" s="144"/>
      <c r="V21" s="144"/>
      <c r="W21" s="144"/>
      <c r="X21" s="137">
        <f t="shared" si="0"/>
        <v>239.9</v>
      </c>
      <c r="Y21" s="138" t="s">
        <v>59</v>
      </c>
      <c r="Z21" s="135"/>
      <c r="AA21" s="136"/>
      <c r="AB21" s="144">
        <v>65</v>
      </c>
      <c r="AC21" s="137"/>
      <c r="AD21" s="135"/>
      <c r="AE21" s="137"/>
      <c r="AF21" s="135"/>
      <c r="AG21" s="137"/>
      <c r="AH21" s="108">
        <f t="shared" si="3"/>
        <v>155.935</v>
      </c>
      <c r="AI21" s="153">
        <f t="shared" si="4"/>
        <v>155.935</v>
      </c>
      <c r="AJ21" s="136"/>
      <c r="AK21" s="136"/>
      <c r="AL21" s="136"/>
      <c r="AM21" s="136"/>
      <c r="AN21" s="136"/>
      <c r="AO21" s="136"/>
      <c r="AP21" s="136"/>
      <c r="AQ21" s="137"/>
      <c r="AS21" s="11"/>
    </row>
    <row r="22" spans="1:48" ht="15" customHeight="1" x14ac:dyDescent="0.25">
      <c r="A22" s="135"/>
      <c r="B22" s="136"/>
      <c r="C22" s="136"/>
      <c r="D22" s="136"/>
      <c r="E22" s="136"/>
      <c r="F22" s="136"/>
      <c r="G22" s="136"/>
      <c r="H22" s="136"/>
      <c r="I22" s="254"/>
      <c r="J22" s="136"/>
      <c r="K22" s="136"/>
      <c r="L22" s="254">
        <v>1.4</v>
      </c>
      <c r="M22" s="136"/>
      <c r="N22" s="144"/>
      <c r="O22" s="144"/>
      <c r="P22" s="144"/>
      <c r="Q22" s="144"/>
      <c r="R22" s="144"/>
      <c r="S22" s="144"/>
      <c r="T22" s="144"/>
      <c r="U22" s="144"/>
      <c r="V22" s="144"/>
      <c r="W22" s="144"/>
      <c r="X22" s="137">
        <f t="shared" si="0"/>
        <v>1.4</v>
      </c>
      <c r="Y22" s="138" t="s">
        <v>6</v>
      </c>
      <c r="Z22" s="135"/>
      <c r="AA22" s="136"/>
      <c r="AB22" s="136">
        <v>100</v>
      </c>
      <c r="AC22" s="137"/>
      <c r="AD22" s="135"/>
      <c r="AE22" s="137"/>
      <c r="AF22" s="135"/>
      <c r="AG22" s="137"/>
      <c r="AH22" s="108">
        <f t="shared" si="3"/>
        <v>1.4</v>
      </c>
      <c r="AI22" s="153">
        <f t="shared" si="4"/>
        <v>1.4</v>
      </c>
      <c r="AJ22" s="136"/>
      <c r="AK22" s="136"/>
      <c r="AL22" s="136"/>
      <c r="AM22" s="136"/>
      <c r="AN22" s="136"/>
      <c r="AO22" s="136"/>
      <c r="AP22" s="136"/>
      <c r="AQ22" s="137"/>
      <c r="AV22" s="11"/>
    </row>
    <row r="23" spans="1:48" ht="15" customHeight="1" x14ac:dyDescent="0.25">
      <c r="A23" s="135"/>
      <c r="B23" s="136"/>
      <c r="C23" s="136"/>
      <c r="D23" s="136"/>
      <c r="E23" s="254">
        <v>131.69</v>
      </c>
      <c r="F23" s="136"/>
      <c r="G23" s="136"/>
      <c r="H23" s="136"/>
      <c r="I23" s="254"/>
      <c r="J23" s="136"/>
      <c r="K23" s="136"/>
      <c r="L23" s="136"/>
      <c r="M23" s="136"/>
      <c r="N23" s="144"/>
      <c r="O23" s="144"/>
      <c r="P23" s="144"/>
      <c r="Q23" s="144"/>
      <c r="R23" s="144"/>
      <c r="S23" s="144"/>
      <c r="T23" s="144"/>
      <c r="U23" s="144"/>
      <c r="V23" s="144"/>
      <c r="W23" s="144"/>
      <c r="X23" s="137">
        <f t="shared" si="0"/>
        <v>131.69</v>
      </c>
      <c r="Y23" s="138" t="s">
        <v>60</v>
      </c>
      <c r="Z23" s="135"/>
      <c r="AA23" s="136">
        <v>90</v>
      </c>
      <c r="AB23" s="136"/>
      <c r="AC23" s="137"/>
      <c r="AD23" s="135"/>
      <c r="AE23" s="137"/>
      <c r="AF23" s="135"/>
      <c r="AG23" s="137"/>
      <c r="AH23" s="108">
        <f t="shared" si="3"/>
        <v>118.521</v>
      </c>
      <c r="AI23" s="153"/>
      <c r="AJ23" s="136"/>
      <c r="AK23" s="136"/>
      <c r="AL23" s="136"/>
      <c r="AM23" s="136"/>
      <c r="AN23" s="136">
        <f>X23*AA23/100</f>
        <v>118.521</v>
      </c>
      <c r="AO23" s="136"/>
      <c r="AP23" s="136"/>
      <c r="AQ23" s="137"/>
      <c r="AV23" s="11"/>
    </row>
    <row r="24" spans="1:48" ht="15" customHeight="1" x14ac:dyDescent="0.25">
      <c r="A24" s="135"/>
      <c r="B24" s="136"/>
      <c r="C24" s="136"/>
      <c r="D24" s="136"/>
      <c r="E24" s="136"/>
      <c r="F24" s="136"/>
      <c r="G24" s="136"/>
      <c r="H24" s="136"/>
      <c r="I24" s="254">
        <v>146.88</v>
      </c>
      <c r="J24" s="136"/>
      <c r="K24" s="136"/>
      <c r="L24" s="136"/>
      <c r="M24" s="136"/>
      <c r="N24" s="144"/>
      <c r="O24" s="144"/>
      <c r="P24" s="144"/>
      <c r="Q24" s="144"/>
      <c r="R24" s="144"/>
      <c r="S24" s="144"/>
      <c r="T24" s="144"/>
      <c r="U24" s="144"/>
      <c r="V24" s="144"/>
      <c r="W24" s="144"/>
      <c r="X24" s="137">
        <f t="shared" si="0"/>
        <v>146.88</v>
      </c>
      <c r="Y24" s="138" t="s">
        <v>61</v>
      </c>
      <c r="Z24" s="135"/>
      <c r="AA24" s="136">
        <v>90</v>
      </c>
      <c r="AB24" s="136"/>
      <c r="AC24" s="137"/>
      <c r="AD24" s="135"/>
      <c r="AE24" s="137"/>
      <c r="AF24" s="135"/>
      <c r="AG24" s="137"/>
      <c r="AH24" s="108">
        <f t="shared" si="3"/>
        <v>132.19199999999998</v>
      </c>
      <c r="AI24" s="153"/>
      <c r="AJ24" s="136"/>
      <c r="AK24" s="136"/>
      <c r="AL24" s="136"/>
      <c r="AM24" s="136"/>
      <c r="AN24" s="136">
        <f>X24*AA24/100</f>
        <v>132.19199999999998</v>
      </c>
      <c r="AO24" s="136"/>
      <c r="AP24" s="136"/>
      <c r="AQ24" s="137"/>
      <c r="AS24" s="11"/>
    </row>
    <row r="25" spans="1:48" ht="15" customHeight="1" x14ac:dyDescent="0.25">
      <c r="A25" s="135"/>
      <c r="B25" s="136"/>
      <c r="C25" s="254">
        <v>93.39</v>
      </c>
      <c r="D25" s="254">
        <v>88.81</v>
      </c>
      <c r="E25" s="254"/>
      <c r="F25" s="254"/>
      <c r="G25" s="254"/>
      <c r="H25" s="254"/>
      <c r="I25" s="254"/>
      <c r="J25" s="254"/>
      <c r="K25" s="254"/>
      <c r="L25" s="254"/>
      <c r="M25" s="254"/>
      <c r="N25" s="254"/>
      <c r="O25" s="254"/>
      <c r="P25" s="254"/>
      <c r="Q25" s="254"/>
      <c r="R25" s="254"/>
      <c r="S25" s="254">
        <v>11.51</v>
      </c>
      <c r="T25" s="254"/>
      <c r="U25" s="254"/>
      <c r="V25" s="254"/>
      <c r="W25" s="254">
        <v>116.2</v>
      </c>
      <c r="X25" s="137">
        <f t="shared" si="0"/>
        <v>309.90999999999997</v>
      </c>
      <c r="Y25" s="138" t="s">
        <v>217</v>
      </c>
      <c r="Z25" s="135"/>
      <c r="AA25" s="136">
        <v>90</v>
      </c>
      <c r="AB25" s="136"/>
      <c r="AC25" s="137"/>
      <c r="AD25" s="135"/>
      <c r="AE25" s="137"/>
      <c r="AF25" s="135"/>
      <c r="AG25" s="137"/>
      <c r="AH25" s="108">
        <f t="shared" si="3"/>
        <v>278.91899999999998</v>
      </c>
      <c r="AI25" s="153"/>
      <c r="AJ25" s="136"/>
      <c r="AK25" s="136"/>
      <c r="AL25" s="136"/>
      <c r="AM25" s="136"/>
      <c r="AN25" s="136">
        <f>X25*AA25/100</f>
        <v>278.91899999999998</v>
      </c>
      <c r="AO25" s="136"/>
      <c r="AP25" s="136"/>
      <c r="AQ25" s="137"/>
      <c r="AR25" s="15"/>
      <c r="AS25" s="11"/>
    </row>
    <row r="26" spans="1:48" ht="15" customHeight="1" x14ac:dyDescent="0.25">
      <c r="A26" s="135"/>
      <c r="B26" s="136"/>
      <c r="C26" s="136"/>
      <c r="D26" s="136"/>
      <c r="E26" s="136"/>
      <c r="F26" s="136"/>
      <c r="G26" s="136"/>
      <c r="H26" s="144"/>
      <c r="I26" s="144"/>
      <c r="J26" s="144"/>
      <c r="K26" s="144"/>
      <c r="L26" s="144"/>
      <c r="M26" s="144"/>
      <c r="N26" s="144"/>
      <c r="O26" s="144"/>
      <c r="P26" s="144"/>
      <c r="Q26" s="144"/>
      <c r="R26" s="144"/>
      <c r="S26" s="144"/>
      <c r="T26" s="144"/>
      <c r="U26" s="144"/>
      <c r="V26" s="144"/>
      <c r="W26" s="144"/>
      <c r="X26" s="137">
        <f t="shared" si="0"/>
        <v>0</v>
      </c>
      <c r="Y26" s="138" t="s">
        <v>45</v>
      </c>
      <c r="Z26" s="136">
        <v>100</v>
      </c>
      <c r="AA26" s="136"/>
      <c r="AB26" s="136"/>
      <c r="AC26" s="137"/>
      <c r="AD26" s="135">
        <f>X26*Z26/100</f>
        <v>0</v>
      </c>
      <c r="AE26" s="137"/>
      <c r="AF26" s="135"/>
      <c r="AG26" s="137"/>
      <c r="AH26" s="108">
        <f t="shared" si="3"/>
        <v>0</v>
      </c>
      <c r="AI26" s="153"/>
      <c r="AJ26" s="136"/>
      <c r="AK26" s="136"/>
      <c r="AL26" s="136"/>
      <c r="AM26" s="136"/>
      <c r="AN26" s="136"/>
      <c r="AO26" s="136"/>
      <c r="AP26" s="136"/>
      <c r="AQ26" s="137"/>
      <c r="AV26" s="11"/>
    </row>
    <row r="27" spans="1:48" ht="15" customHeight="1" x14ac:dyDescent="0.25">
      <c r="A27" s="135"/>
      <c r="B27" s="136"/>
      <c r="C27" s="136"/>
      <c r="D27" s="136"/>
      <c r="E27" s="136"/>
      <c r="F27" s="136"/>
      <c r="G27" s="136"/>
      <c r="H27" s="144"/>
      <c r="I27" s="144"/>
      <c r="J27" s="249">
        <v>14.45</v>
      </c>
      <c r="K27" s="144"/>
      <c r="L27" s="144"/>
      <c r="M27" s="144"/>
      <c r="N27" s="144"/>
      <c r="O27" s="144"/>
      <c r="P27" s="144"/>
      <c r="Q27" s="144"/>
      <c r="R27" s="144"/>
      <c r="S27" s="144"/>
      <c r="T27" s="144"/>
      <c r="U27" s="144"/>
      <c r="V27" s="144"/>
      <c r="W27" s="144"/>
      <c r="X27" s="137">
        <f t="shared" si="0"/>
        <v>14.45</v>
      </c>
      <c r="Y27" s="138" t="s">
        <v>62</v>
      </c>
      <c r="Z27" s="136">
        <v>100</v>
      </c>
      <c r="AA27" s="136"/>
      <c r="AB27" s="136"/>
      <c r="AC27" s="137"/>
      <c r="AD27" s="135">
        <f>Z27*X27/100</f>
        <v>14.45</v>
      </c>
      <c r="AE27" s="137"/>
      <c r="AF27" s="135"/>
      <c r="AG27" s="137"/>
      <c r="AH27" s="108">
        <f t="shared" si="3"/>
        <v>0</v>
      </c>
      <c r="AI27" s="153"/>
      <c r="AJ27" s="136"/>
      <c r="AK27" s="136"/>
      <c r="AL27" s="136"/>
      <c r="AM27" s="136"/>
      <c r="AN27" s="136"/>
      <c r="AO27" s="136"/>
      <c r="AP27" s="136"/>
      <c r="AQ27" s="137"/>
      <c r="AV27" s="11"/>
    </row>
    <row r="28" spans="1:48" ht="15" customHeight="1" x14ac:dyDescent="0.25">
      <c r="A28" s="135"/>
      <c r="B28" s="136"/>
      <c r="C28" s="136"/>
      <c r="D28" s="136"/>
      <c r="E28" s="136"/>
      <c r="F28" s="136"/>
      <c r="G28" s="136"/>
      <c r="H28" s="144"/>
      <c r="I28" s="144"/>
      <c r="J28" s="144"/>
      <c r="K28" s="144"/>
      <c r="L28" s="144"/>
      <c r="M28" s="144"/>
      <c r="N28" s="144"/>
      <c r="O28" s="144"/>
      <c r="P28" s="144"/>
      <c r="Q28" s="144"/>
      <c r="R28" s="144"/>
      <c r="S28" s="144"/>
      <c r="T28" s="144"/>
      <c r="U28" s="144"/>
      <c r="V28" s="144"/>
      <c r="W28" s="144"/>
      <c r="X28" s="137">
        <f t="shared" si="0"/>
        <v>0</v>
      </c>
      <c r="Y28" s="138" t="s">
        <v>124</v>
      </c>
      <c r="Z28" s="140">
        <v>100</v>
      </c>
      <c r="AA28" s="144"/>
      <c r="AB28" s="144"/>
      <c r="AC28" s="139"/>
      <c r="AD28" s="140">
        <f>Z28*X28/100</f>
        <v>0</v>
      </c>
      <c r="AE28" s="139"/>
      <c r="AF28" s="135"/>
      <c r="AG28" s="137"/>
      <c r="AH28" s="108">
        <f t="shared" si="3"/>
        <v>0</v>
      </c>
      <c r="AI28" s="153"/>
      <c r="AJ28" s="136"/>
      <c r="AK28" s="136"/>
      <c r="AL28" s="136"/>
      <c r="AM28" s="136"/>
      <c r="AN28" s="136"/>
      <c r="AO28" s="136"/>
      <c r="AP28" s="136"/>
      <c r="AQ28" s="137"/>
    </row>
    <row r="29" spans="1:48" ht="15" customHeight="1" x14ac:dyDescent="0.25">
      <c r="A29" s="135"/>
      <c r="B29" s="136"/>
      <c r="C29" s="136"/>
      <c r="D29" s="136"/>
      <c r="E29" s="136"/>
      <c r="F29" s="136"/>
      <c r="G29" s="136"/>
      <c r="H29" s="144"/>
      <c r="I29" s="144"/>
      <c r="J29" s="144"/>
      <c r="K29" s="144"/>
      <c r="L29" s="144"/>
      <c r="M29" s="144"/>
      <c r="N29" s="144"/>
      <c r="O29" s="144"/>
      <c r="P29" s="144"/>
      <c r="Q29" s="144"/>
      <c r="R29" s="144"/>
      <c r="S29" s="144"/>
      <c r="T29" s="144"/>
      <c r="U29" s="144"/>
      <c r="V29" s="144"/>
      <c r="W29" s="144"/>
      <c r="X29" s="137">
        <f t="shared" si="0"/>
        <v>0</v>
      </c>
      <c r="Y29" s="138" t="s">
        <v>7</v>
      </c>
      <c r="Z29" s="144">
        <v>100</v>
      </c>
      <c r="AA29" s="144"/>
      <c r="AB29" s="144"/>
      <c r="AC29" s="139"/>
      <c r="AD29" s="140">
        <f>Z29*X29/100</f>
        <v>0</v>
      </c>
      <c r="AE29" s="139"/>
      <c r="AF29" s="135"/>
      <c r="AG29" s="137"/>
      <c r="AH29" s="108">
        <f t="shared" si="3"/>
        <v>0</v>
      </c>
      <c r="AI29" s="153"/>
      <c r="AJ29" s="136"/>
      <c r="AK29" s="136"/>
      <c r="AL29" s="136"/>
      <c r="AM29" s="136"/>
      <c r="AN29" s="136"/>
      <c r="AO29" s="136"/>
      <c r="AP29" s="136"/>
      <c r="AQ29" s="137"/>
    </row>
    <row r="30" spans="1:48" ht="15" customHeight="1" x14ac:dyDescent="0.25">
      <c r="A30" s="135"/>
      <c r="B30" s="136"/>
      <c r="C30" s="136"/>
      <c r="D30" s="136"/>
      <c r="E30" s="136"/>
      <c r="F30" s="136"/>
      <c r="G30" s="136"/>
      <c r="H30" s="144"/>
      <c r="I30" s="144"/>
      <c r="J30" s="144"/>
      <c r="K30" s="144"/>
      <c r="L30" s="144"/>
      <c r="M30" s="144"/>
      <c r="N30" s="144"/>
      <c r="O30" s="144"/>
      <c r="P30" s="144"/>
      <c r="Q30" s="144"/>
      <c r="R30" s="144"/>
      <c r="S30" s="144"/>
      <c r="T30" s="144"/>
      <c r="U30" s="144"/>
      <c r="V30" s="144"/>
      <c r="W30" s="144"/>
      <c r="X30" s="137">
        <f t="shared" si="0"/>
        <v>0</v>
      </c>
      <c r="Y30" s="138" t="s">
        <v>8</v>
      </c>
      <c r="Z30" s="144">
        <v>100</v>
      </c>
      <c r="AA30" s="144"/>
      <c r="AB30" s="144"/>
      <c r="AC30" s="139"/>
      <c r="AD30" s="140">
        <f>Z30*X30/100</f>
        <v>0</v>
      </c>
      <c r="AE30" s="139"/>
      <c r="AF30" s="135"/>
      <c r="AG30" s="137"/>
      <c r="AH30" s="108">
        <f t="shared" si="3"/>
        <v>0</v>
      </c>
      <c r="AI30" s="153"/>
      <c r="AJ30" s="136"/>
      <c r="AK30" s="136"/>
      <c r="AL30" s="136"/>
      <c r="AM30" s="136"/>
      <c r="AN30" s="136"/>
      <c r="AO30" s="136"/>
      <c r="AP30" s="136"/>
      <c r="AQ30" s="137"/>
    </row>
    <row r="31" spans="1:48" s="1" customFormat="1" ht="15" customHeight="1" x14ac:dyDescent="0.25">
      <c r="A31" s="270"/>
      <c r="B31" s="136"/>
      <c r="C31" s="136"/>
      <c r="D31" s="136"/>
      <c r="E31" s="136"/>
      <c r="F31" s="136"/>
      <c r="G31" s="136"/>
      <c r="H31" s="144"/>
      <c r="I31" s="144"/>
      <c r="J31" s="144"/>
      <c r="K31" s="144"/>
      <c r="L31" s="144"/>
      <c r="M31" s="144"/>
      <c r="N31" s="144"/>
      <c r="O31" s="144"/>
      <c r="P31" s="144"/>
      <c r="Q31" s="144"/>
      <c r="R31" s="144"/>
      <c r="S31" s="144"/>
      <c r="T31" s="144"/>
      <c r="U31" s="254"/>
      <c r="V31" s="254"/>
      <c r="W31" s="254"/>
      <c r="X31" s="137">
        <f t="shared" si="0"/>
        <v>0</v>
      </c>
      <c r="Y31" s="96" t="s">
        <v>216</v>
      </c>
      <c r="Z31" s="256"/>
      <c r="AA31" s="254"/>
      <c r="AB31" s="254"/>
      <c r="AC31" s="255"/>
      <c r="AD31" s="261"/>
      <c r="AE31" s="255"/>
      <c r="AF31" s="271"/>
      <c r="AG31" s="171"/>
      <c r="AH31" s="159"/>
      <c r="AI31" s="270"/>
      <c r="AJ31" s="272"/>
      <c r="AK31" s="272"/>
      <c r="AL31" s="272"/>
      <c r="AM31" s="272"/>
      <c r="AN31" s="272"/>
      <c r="AO31" s="272"/>
      <c r="AP31" s="272"/>
      <c r="AQ31" s="171"/>
    </row>
    <row r="32" spans="1:48" ht="15" customHeight="1" x14ac:dyDescent="0.25">
      <c r="A32" s="136"/>
      <c r="B32" s="136"/>
      <c r="C32" s="273"/>
      <c r="D32" s="273"/>
      <c r="E32" s="273"/>
      <c r="F32" s="273"/>
      <c r="G32" s="273"/>
      <c r="H32" s="245"/>
      <c r="I32" s="245"/>
      <c r="J32" s="245"/>
      <c r="K32" s="245"/>
      <c r="L32" s="245"/>
      <c r="M32" s="245"/>
      <c r="N32" s="254"/>
      <c r="O32" s="245"/>
      <c r="P32" s="245"/>
      <c r="Q32" s="245"/>
      <c r="R32" s="245"/>
      <c r="S32" s="245"/>
      <c r="T32" s="245"/>
      <c r="U32" s="245"/>
      <c r="V32" s="245"/>
      <c r="W32" s="245"/>
      <c r="X32" s="137">
        <f t="shared" si="0"/>
        <v>0</v>
      </c>
      <c r="Y32" s="96" t="s">
        <v>215</v>
      </c>
      <c r="Z32" s="261">
        <v>25</v>
      </c>
      <c r="AA32" s="254">
        <v>50</v>
      </c>
      <c r="AB32" s="254"/>
      <c r="AC32" s="255"/>
      <c r="AD32" s="140">
        <f>X32*Z32/100</f>
        <v>0</v>
      </c>
      <c r="AE32" s="139"/>
      <c r="AF32" s="140">
        <f>X32*AB32/100</f>
        <v>0</v>
      </c>
      <c r="AG32" s="139"/>
      <c r="AH32" s="108">
        <f>SUM(AI32:AQ32)</f>
        <v>0</v>
      </c>
      <c r="AI32" s="153"/>
      <c r="AJ32" s="254"/>
      <c r="AK32" s="272"/>
      <c r="AL32" s="272"/>
      <c r="AM32" s="272"/>
      <c r="AN32" s="272"/>
      <c r="AO32" s="272"/>
      <c r="AP32" s="254"/>
      <c r="AQ32" s="137"/>
    </row>
    <row r="33" spans="1:44" ht="15" customHeight="1" x14ac:dyDescent="0.25">
      <c r="A33" s="136"/>
      <c r="B33" s="136"/>
      <c r="C33" s="250">
        <v>2010.9</v>
      </c>
      <c r="D33" s="245"/>
      <c r="E33" s="245"/>
      <c r="F33" s="245"/>
      <c r="G33" s="245"/>
      <c r="H33" s="245"/>
      <c r="I33" s="245"/>
      <c r="J33" s="245"/>
      <c r="K33" s="245"/>
      <c r="L33" s="245"/>
      <c r="M33" s="245"/>
      <c r="N33" s="245"/>
      <c r="O33" s="245">
        <f>7.7*46%</f>
        <v>3.5420000000000003</v>
      </c>
      <c r="P33" s="245"/>
      <c r="Q33" s="245"/>
      <c r="R33" s="245"/>
      <c r="S33" s="245"/>
      <c r="T33" s="245">
        <f>7.7*54%</f>
        <v>4.1580000000000004</v>
      </c>
      <c r="U33" s="245"/>
      <c r="V33" s="245"/>
      <c r="W33" s="245"/>
      <c r="X33" s="137">
        <f t="shared" si="0"/>
        <v>2018.6</v>
      </c>
      <c r="Y33" s="138" t="s">
        <v>39</v>
      </c>
      <c r="Z33" s="261">
        <v>21.32</v>
      </c>
      <c r="AA33" s="254"/>
      <c r="AB33" s="254">
        <v>81.39</v>
      </c>
      <c r="AC33" s="139"/>
      <c r="AD33" s="140">
        <f>X33*Z33/100</f>
        <v>430.36551999999995</v>
      </c>
      <c r="AE33" s="139"/>
      <c r="AF33" s="135">
        <f>X33*AB33/100</f>
        <v>1642.9385399999999</v>
      </c>
      <c r="AG33" s="137"/>
      <c r="AH33" s="108">
        <f t="shared" si="3"/>
        <v>0</v>
      </c>
      <c r="AI33" s="153"/>
      <c r="AJ33" s="136"/>
      <c r="AK33" s="136"/>
      <c r="AL33" s="136"/>
      <c r="AM33" s="136"/>
      <c r="AN33" s="136"/>
      <c r="AO33" s="136"/>
      <c r="AP33" s="136"/>
      <c r="AQ33" s="137"/>
    </row>
    <row r="34" spans="1:44" ht="15" customHeight="1" x14ac:dyDescent="0.25">
      <c r="A34" s="136"/>
      <c r="B34" s="136"/>
      <c r="C34" s="245"/>
      <c r="D34" s="245"/>
      <c r="E34" s="245"/>
      <c r="F34" s="245"/>
      <c r="G34" s="245"/>
      <c r="H34" s="245"/>
      <c r="I34" s="245"/>
      <c r="J34" s="245"/>
      <c r="K34" s="245"/>
      <c r="L34" s="245"/>
      <c r="M34" s="245"/>
      <c r="N34" s="245"/>
      <c r="O34" s="245"/>
      <c r="P34" s="245"/>
      <c r="Q34" s="245"/>
      <c r="R34" s="245"/>
      <c r="S34" s="245"/>
      <c r="T34" s="245"/>
      <c r="U34" s="245"/>
      <c r="V34" s="245"/>
      <c r="W34" s="245"/>
      <c r="X34" s="137">
        <f t="shared" si="0"/>
        <v>0</v>
      </c>
      <c r="Y34" s="138" t="s">
        <v>40</v>
      </c>
      <c r="Z34" s="261"/>
      <c r="AA34" s="254"/>
      <c r="AB34" s="254">
        <v>0</v>
      </c>
      <c r="AC34" s="139"/>
      <c r="AD34" s="140">
        <f>X34*Z34/100</f>
        <v>0</v>
      </c>
      <c r="AE34" s="139"/>
      <c r="AF34" s="135">
        <f>X34*AB34</f>
        <v>0</v>
      </c>
      <c r="AG34" s="137"/>
      <c r="AH34" s="108">
        <f t="shared" si="3"/>
        <v>0</v>
      </c>
      <c r="AI34" s="153"/>
      <c r="AJ34" s="136"/>
      <c r="AK34" s="136"/>
      <c r="AL34" s="136"/>
      <c r="AM34" s="136"/>
      <c r="AN34" s="136"/>
      <c r="AO34" s="136"/>
      <c r="AP34" s="136"/>
      <c r="AQ34" s="137"/>
    </row>
    <row r="35" spans="1:44" ht="15" customHeight="1" x14ac:dyDescent="0.25">
      <c r="A35" s="136"/>
      <c r="B35" s="136"/>
      <c r="C35" s="245"/>
      <c r="D35" s="245"/>
      <c r="E35" s="262"/>
      <c r="F35" s="245"/>
      <c r="G35" s="245"/>
      <c r="H35" s="245"/>
      <c r="I35" s="245"/>
      <c r="J35" s="245"/>
      <c r="K35" s="245"/>
      <c r="L35" s="245"/>
      <c r="M35" s="245"/>
      <c r="N35" s="245"/>
      <c r="O35" s="245"/>
      <c r="P35" s="245"/>
      <c r="Q35" s="245"/>
      <c r="R35" s="245"/>
      <c r="S35" s="245"/>
      <c r="T35" s="245"/>
      <c r="U35" s="245"/>
      <c r="V35" s="245"/>
      <c r="W35" s="245"/>
      <c r="X35" s="137">
        <f t="shared" si="0"/>
        <v>0</v>
      </c>
      <c r="Y35" s="138" t="s">
        <v>41</v>
      </c>
      <c r="Z35" s="261"/>
      <c r="AA35" s="254"/>
      <c r="AB35" s="254">
        <v>0</v>
      </c>
      <c r="AC35" s="139"/>
      <c r="AD35" s="140">
        <f>X35*Z35/100</f>
        <v>0</v>
      </c>
      <c r="AE35" s="139"/>
      <c r="AF35" s="135">
        <f>X35*AB35</f>
        <v>0</v>
      </c>
      <c r="AG35" s="137"/>
      <c r="AH35" s="108">
        <f t="shared" si="3"/>
        <v>0</v>
      </c>
      <c r="AI35" s="153"/>
      <c r="AJ35" s="136"/>
      <c r="AK35" s="136"/>
      <c r="AL35" s="136"/>
      <c r="AM35" s="136"/>
      <c r="AN35" s="136"/>
      <c r="AO35" s="136"/>
      <c r="AP35" s="136"/>
      <c r="AQ35" s="137"/>
    </row>
    <row r="36" spans="1:44" ht="15" customHeight="1" x14ac:dyDescent="0.25">
      <c r="A36" s="136"/>
      <c r="B36" s="136"/>
      <c r="C36" s="245"/>
      <c r="D36" s="245">
        <v>150.19999999999999</v>
      </c>
      <c r="E36" s="245">
        <v>32</v>
      </c>
      <c r="F36" s="245"/>
      <c r="G36" s="245"/>
      <c r="H36" s="245"/>
      <c r="I36" s="245"/>
      <c r="J36" s="245"/>
      <c r="K36" s="245"/>
      <c r="L36" s="245"/>
      <c r="M36" s="245"/>
      <c r="N36" s="245"/>
      <c r="O36" s="245"/>
      <c r="P36" s="245"/>
      <c r="Q36" s="245"/>
      <c r="R36" s="245"/>
      <c r="S36" s="245"/>
      <c r="T36" s="245"/>
      <c r="U36" s="245"/>
      <c r="V36" s="245"/>
      <c r="W36" s="245"/>
      <c r="X36" s="137">
        <f t="shared" si="0"/>
        <v>182.2</v>
      </c>
      <c r="Y36" s="138" t="s">
        <v>42</v>
      </c>
      <c r="Z36" s="261"/>
      <c r="AA36" s="254"/>
      <c r="AB36" s="254">
        <v>90.01</v>
      </c>
      <c r="AC36" s="139"/>
      <c r="AD36" s="140"/>
      <c r="AE36" s="139"/>
      <c r="AF36" s="135">
        <f>X36*AB36/100</f>
        <v>163.99822</v>
      </c>
      <c r="AG36" s="137"/>
      <c r="AH36" s="108">
        <f t="shared" si="3"/>
        <v>0</v>
      </c>
      <c r="AI36" s="153"/>
      <c r="AJ36" s="136"/>
      <c r="AK36" s="136"/>
      <c r="AL36" s="136"/>
      <c r="AM36" s="136"/>
      <c r="AN36" s="136"/>
      <c r="AO36" s="136"/>
      <c r="AP36" s="136"/>
      <c r="AQ36" s="137"/>
    </row>
    <row r="37" spans="1:44" s="1" customFormat="1" ht="15" customHeight="1" x14ac:dyDescent="0.25">
      <c r="A37" s="272"/>
      <c r="B37" s="272"/>
      <c r="C37" s="272"/>
      <c r="D37" s="254"/>
      <c r="E37" s="254"/>
      <c r="F37" s="254"/>
      <c r="G37" s="254"/>
      <c r="H37" s="254"/>
      <c r="I37" s="254"/>
      <c r="J37" s="254"/>
      <c r="K37" s="254"/>
      <c r="L37" s="254"/>
      <c r="M37" s="254"/>
      <c r="N37" s="144"/>
      <c r="O37" s="254"/>
      <c r="P37" s="254"/>
      <c r="Q37" s="254"/>
      <c r="R37" s="254"/>
      <c r="S37" s="254"/>
      <c r="T37" s="254"/>
      <c r="U37" s="254"/>
      <c r="V37" s="254"/>
      <c r="W37" s="254"/>
      <c r="X37" s="137">
        <f t="shared" si="0"/>
        <v>0</v>
      </c>
      <c r="Y37" s="96" t="s">
        <v>213</v>
      </c>
      <c r="Z37" s="140"/>
      <c r="AA37" s="144"/>
      <c r="AB37" s="144"/>
      <c r="AC37" s="139"/>
      <c r="AD37" s="261">
        <f>-AE37/$D$2%</f>
        <v>0</v>
      </c>
      <c r="AE37" s="164"/>
      <c r="AF37" s="165">
        <f>AE37*AB37%</f>
        <v>0</v>
      </c>
      <c r="AG37" s="171"/>
      <c r="AH37" s="159"/>
      <c r="AI37" s="270"/>
      <c r="AJ37" s="270"/>
      <c r="AK37" s="272"/>
      <c r="AL37" s="272"/>
      <c r="AM37" s="272"/>
      <c r="AN37" s="272"/>
      <c r="AO37" s="272"/>
      <c r="AP37" s="272"/>
      <c r="AQ37" s="171"/>
    </row>
    <row r="38" spans="1:44" ht="15" customHeight="1" x14ac:dyDescent="0.25">
      <c r="A38" s="272"/>
      <c r="B38" s="272"/>
      <c r="C38" s="272"/>
      <c r="D38" s="254"/>
      <c r="E38" s="254"/>
      <c r="F38" s="254"/>
      <c r="G38" s="254"/>
      <c r="H38" s="254"/>
      <c r="I38" s="254"/>
      <c r="J38" s="254"/>
      <c r="K38" s="254"/>
      <c r="L38" s="254"/>
      <c r="M38" s="254"/>
      <c r="N38" s="254"/>
      <c r="O38" s="254"/>
      <c r="P38" s="254"/>
      <c r="Q38" s="254"/>
      <c r="R38" s="254"/>
      <c r="S38" s="254"/>
      <c r="T38" s="254"/>
      <c r="U38" s="254"/>
      <c r="V38" s="254"/>
      <c r="W38" s="254"/>
      <c r="X38" s="137">
        <f t="shared" si="0"/>
        <v>0</v>
      </c>
      <c r="Y38" s="96" t="s">
        <v>214</v>
      </c>
      <c r="Z38" s="140"/>
      <c r="AA38" s="144"/>
      <c r="AB38" s="144"/>
      <c r="AC38" s="139"/>
      <c r="AD38" s="261">
        <f>-AE38/$D$2%</f>
        <v>0</v>
      </c>
      <c r="AE38" s="139"/>
      <c r="AF38" s="140">
        <f>AE38*AB38%</f>
        <v>0</v>
      </c>
      <c r="AG38" s="171"/>
      <c r="AH38" s="159"/>
      <c r="AI38" s="270"/>
      <c r="AJ38" s="270"/>
      <c r="AK38" s="272"/>
      <c r="AL38" s="272"/>
      <c r="AM38" s="272"/>
      <c r="AN38" s="272"/>
      <c r="AO38" s="272"/>
      <c r="AP38" s="272"/>
      <c r="AQ38" s="171"/>
    </row>
    <row r="39" spans="1:44" ht="15" customHeight="1" x14ac:dyDescent="0.25">
      <c r="A39" s="136"/>
      <c r="B39" s="136"/>
      <c r="C39" s="245"/>
      <c r="D39" s="245"/>
      <c r="E39" s="245"/>
      <c r="F39" s="245"/>
      <c r="G39" s="245"/>
      <c r="H39" s="245"/>
      <c r="I39" s="245"/>
      <c r="J39" s="245"/>
      <c r="K39" s="245"/>
      <c r="L39" s="245"/>
      <c r="M39" s="245"/>
      <c r="N39" s="245"/>
      <c r="O39" s="245"/>
      <c r="P39" s="245"/>
      <c r="Q39" s="245"/>
      <c r="R39" s="245"/>
      <c r="S39" s="245"/>
      <c r="T39" s="245"/>
      <c r="U39" s="245"/>
      <c r="V39" s="245"/>
      <c r="W39" s="245"/>
      <c r="X39" s="137">
        <f t="shared" si="0"/>
        <v>0</v>
      </c>
      <c r="Y39" s="138" t="s">
        <v>63</v>
      </c>
      <c r="Z39" s="261"/>
      <c r="AA39" s="254"/>
      <c r="AB39" s="254"/>
      <c r="AC39" s="255">
        <f>100-25</f>
        <v>75</v>
      </c>
      <c r="AD39" s="140"/>
      <c r="AE39" s="139"/>
      <c r="AF39" s="135">
        <f>-SUM(AF33:AF36)</f>
        <v>-1806.9367599999998</v>
      </c>
      <c r="AG39" s="137">
        <f>-AF39*AC39/100</f>
        <v>1355.2025699999999</v>
      </c>
      <c r="AH39" s="108">
        <f>SUM(AI39:AQ39)</f>
        <v>1355.2025699999997</v>
      </c>
      <c r="AI39" s="153">
        <f>AG39*62.71%</f>
        <v>849.84753164699998</v>
      </c>
      <c r="AJ39" s="153">
        <f>AG39*9.72%</f>
        <v>131.72568980400001</v>
      </c>
      <c r="AK39" s="136">
        <f>AG39*12.13%</f>
        <v>164.38607174099999</v>
      </c>
      <c r="AL39" s="136">
        <f>AG39*7.13%</f>
        <v>96.625943241000002</v>
      </c>
      <c r="AM39" s="136">
        <f>AG39*0%</f>
        <v>0</v>
      </c>
      <c r="AN39" s="136">
        <f>AG39*6.34%</f>
        <v>85.919842937999988</v>
      </c>
      <c r="AO39" s="136">
        <f>AG39*1.97%</f>
        <v>26.697490628999997</v>
      </c>
      <c r="AP39" s="136"/>
      <c r="AQ39" s="137"/>
      <c r="AR39" s="19"/>
    </row>
    <row r="40" spans="1:44" ht="15" customHeight="1" x14ac:dyDescent="0.25">
      <c r="A40" s="136"/>
      <c r="B40" s="136"/>
      <c r="C40" s="245"/>
      <c r="D40" s="245"/>
      <c r="E40" s="245"/>
      <c r="F40" s="245"/>
      <c r="G40" s="245"/>
      <c r="H40" s="245"/>
      <c r="I40" s="245"/>
      <c r="J40" s="245"/>
      <c r="K40" s="245"/>
      <c r="L40" s="245"/>
      <c r="M40" s="245"/>
      <c r="N40" s="245"/>
      <c r="O40" s="245"/>
      <c r="P40" s="245"/>
      <c r="Q40" s="245"/>
      <c r="R40" s="245"/>
      <c r="S40" s="245"/>
      <c r="T40" s="245"/>
      <c r="U40" s="245"/>
      <c r="V40" s="245"/>
      <c r="W40" s="245"/>
      <c r="X40" s="137">
        <f t="shared" si="0"/>
        <v>0</v>
      </c>
      <c r="Y40" s="138" t="s">
        <v>13</v>
      </c>
      <c r="Z40" s="261"/>
      <c r="AA40" s="254"/>
      <c r="AB40" s="254"/>
      <c r="AC40" s="255"/>
      <c r="AD40" s="140">
        <f>X40*Z40/100</f>
        <v>0</v>
      </c>
      <c r="AE40" s="139"/>
      <c r="AF40" s="135">
        <f>X40*AB40/100</f>
        <v>0</v>
      </c>
      <c r="AG40" s="137"/>
      <c r="AH40" s="108">
        <f t="shared" si="3"/>
        <v>0</v>
      </c>
      <c r="AI40" s="270"/>
      <c r="AJ40" s="272"/>
      <c r="AK40" s="272"/>
      <c r="AL40" s="272"/>
      <c r="AM40" s="272"/>
      <c r="AN40" s="272"/>
      <c r="AO40" s="272"/>
      <c r="AP40" s="136"/>
      <c r="AQ40" s="137"/>
    </row>
    <row r="41" spans="1:44" ht="15" customHeight="1" x14ac:dyDescent="0.25">
      <c r="A41" s="136"/>
      <c r="B41" s="136"/>
      <c r="C41" s="245"/>
      <c r="D41" s="245"/>
      <c r="E41" s="245"/>
      <c r="F41" s="245"/>
      <c r="G41" s="245"/>
      <c r="H41" s="245"/>
      <c r="I41" s="245"/>
      <c r="J41" s="245"/>
      <c r="K41" s="245"/>
      <c r="L41" s="245"/>
      <c r="M41" s="245"/>
      <c r="N41" s="245"/>
      <c r="O41" s="245"/>
      <c r="P41" s="245"/>
      <c r="Q41" s="245"/>
      <c r="R41" s="245"/>
      <c r="S41" s="245"/>
      <c r="T41" s="245"/>
      <c r="U41" s="245"/>
      <c r="V41" s="245"/>
      <c r="W41" s="245"/>
      <c r="X41" s="137">
        <f t="shared" si="0"/>
        <v>0</v>
      </c>
      <c r="Y41" s="138" t="s">
        <v>14</v>
      </c>
      <c r="Z41" s="261"/>
      <c r="AA41" s="254"/>
      <c r="AB41" s="254"/>
      <c r="AC41" s="255"/>
      <c r="AD41" s="140">
        <f>X41*Z41/100</f>
        <v>0</v>
      </c>
      <c r="AE41" s="139"/>
      <c r="AF41" s="135">
        <f>X41*AB41/100</f>
        <v>0</v>
      </c>
      <c r="AG41" s="137"/>
      <c r="AH41" s="108">
        <f t="shared" si="3"/>
        <v>0</v>
      </c>
      <c r="AI41" s="270"/>
      <c r="AJ41" s="272"/>
      <c r="AK41" s="272"/>
      <c r="AL41" s="272"/>
      <c r="AM41" s="272"/>
      <c r="AN41" s="272"/>
      <c r="AO41" s="272"/>
      <c r="AP41" s="136"/>
      <c r="AQ41" s="137"/>
    </row>
    <row r="42" spans="1:44" ht="15" customHeight="1" x14ac:dyDescent="0.25">
      <c r="A42" s="136"/>
      <c r="B42" s="136"/>
      <c r="C42" s="245"/>
      <c r="D42" s="245"/>
      <c r="E42" s="245"/>
      <c r="F42" s="245"/>
      <c r="G42" s="245"/>
      <c r="H42" s="245"/>
      <c r="I42" s="245"/>
      <c r="J42" s="245"/>
      <c r="K42" s="245"/>
      <c r="L42" s="245"/>
      <c r="M42" s="245"/>
      <c r="N42" s="245"/>
      <c r="O42" s="245"/>
      <c r="P42" s="245"/>
      <c r="Q42" s="245"/>
      <c r="R42" s="245"/>
      <c r="S42" s="245"/>
      <c r="T42" s="245"/>
      <c r="U42" s="245"/>
      <c r="V42" s="245"/>
      <c r="W42" s="245"/>
      <c r="X42" s="137">
        <f t="shared" si="0"/>
        <v>0</v>
      </c>
      <c r="Y42" s="138" t="s">
        <v>15</v>
      </c>
      <c r="Z42" s="261"/>
      <c r="AA42" s="254"/>
      <c r="AB42" s="254"/>
      <c r="AC42" s="255"/>
      <c r="AD42" s="140">
        <f>X42*Z42/100</f>
        <v>0</v>
      </c>
      <c r="AE42" s="139"/>
      <c r="AF42" s="135">
        <f>X42*AB42/100</f>
        <v>0</v>
      </c>
      <c r="AG42" s="137"/>
      <c r="AH42" s="108">
        <f t="shared" si="3"/>
        <v>0</v>
      </c>
      <c r="AI42" s="270"/>
      <c r="AJ42" s="272"/>
      <c r="AK42" s="272"/>
      <c r="AL42" s="272"/>
      <c r="AM42" s="272"/>
      <c r="AN42" s="272"/>
      <c r="AO42" s="272"/>
      <c r="AP42" s="136"/>
      <c r="AQ42" s="137"/>
    </row>
    <row r="43" spans="1:44" ht="15" customHeight="1" x14ac:dyDescent="0.25">
      <c r="A43" s="136"/>
      <c r="B43" s="136"/>
      <c r="C43" s="245"/>
      <c r="D43" s="245"/>
      <c r="E43" s="245"/>
      <c r="F43" s="245"/>
      <c r="G43" s="245"/>
      <c r="H43" s="245"/>
      <c r="I43" s="245"/>
      <c r="J43" s="245"/>
      <c r="K43" s="245"/>
      <c r="L43" s="245"/>
      <c r="M43" s="245"/>
      <c r="N43" s="245"/>
      <c r="O43" s="245"/>
      <c r="P43" s="245"/>
      <c r="Q43" s="245"/>
      <c r="R43" s="245"/>
      <c r="S43" s="245"/>
      <c r="T43" s="245"/>
      <c r="U43" s="245"/>
      <c r="V43" s="245"/>
      <c r="W43" s="245"/>
      <c r="X43" s="137">
        <f t="shared" si="0"/>
        <v>0</v>
      </c>
      <c r="Y43" s="138" t="s">
        <v>64</v>
      </c>
      <c r="Z43" s="261"/>
      <c r="AA43" s="254"/>
      <c r="AB43" s="254"/>
      <c r="AC43" s="255">
        <f>100-25</f>
        <v>75</v>
      </c>
      <c r="AD43" s="140"/>
      <c r="AE43" s="139"/>
      <c r="AF43" s="135">
        <f>-SUM(AF40:AF42)</f>
        <v>0</v>
      </c>
      <c r="AG43" s="137">
        <f>-AF43*AC43/100</f>
        <v>0</v>
      </c>
      <c r="AH43" s="108">
        <f t="shared" si="3"/>
        <v>0</v>
      </c>
      <c r="AI43" s="153">
        <f>AG43*62.71%</f>
        <v>0</v>
      </c>
      <c r="AJ43" s="153">
        <f>AG43*9.72%</f>
        <v>0</v>
      </c>
      <c r="AK43" s="136">
        <f>AG43*12.13%</f>
        <v>0</v>
      </c>
      <c r="AL43" s="136">
        <f>AG43*7.13%</f>
        <v>0</v>
      </c>
      <c r="AM43" s="136">
        <f>AG43*0%</f>
        <v>0</v>
      </c>
      <c r="AN43" s="136">
        <f>AG43*6.34%</f>
        <v>0</v>
      </c>
      <c r="AO43" s="136">
        <f>AG43*1.97%</f>
        <v>0</v>
      </c>
      <c r="AP43" s="136"/>
      <c r="AQ43" s="137"/>
    </row>
    <row r="44" spans="1:44" ht="15" customHeight="1" x14ac:dyDescent="0.25">
      <c r="A44" s="136"/>
      <c r="B44" s="136"/>
      <c r="C44" s="263"/>
      <c r="D44" s="245"/>
      <c r="E44" s="263"/>
      <c r="F44" s="245"/>
      <c r="G44" s="245"/>
      <c r="H44" s="245"/>
      <c r="I44" s="161"/>
      <c r="J44" s="245"/>
      <c r="K44" s="245"/>
      <c r="L44" s="245"/>
      <c r="M44" s="245"/>
      <c r="N44" s="245"/>
      <c r="O44" s="245"/>
      <c r="P44" s="245"/>
      <c r="Q44" s="263"/>
      <c r="R44" s="245"/>
      <c r="S44" s="245"/>
      <c r="T44" s="245"/>
      <c r="U44" s="245"/>
      <c r="V44" s="245"/>
      <c r="W44" s="245"/>
      <c r="X44" s="137">
        <f t="shared" si="0"/>
        <v>0</v>
      </c>
      <c r="Y44" s="138" t="s">
        <v>43</v>
      </c>
      <c r="Z44" s="261"/>
      <c r="AA44" s="254"/>
      <c r="AB44" s="254"/>
      <c r="AC44" s="255"/>
      <c r="AD44" s="135">
        <f>X44*Z44/100</f>
        <v>0</v>
      </c>
      <c r="AE44" s="137"/>
      <c r="AF44" s="135">
        <f t="shared" ref="AF44:AF51" si="5">X44*AB44/100</f>
        <v>0</v>
      </c>
      <c r="AG44" s="137"/>
      <c r="AH44" s="108">
        <f t="shared" si="3"/>
        <v>0</v>
      </c>
      <c r="AI44" s="153"/>
      <c r="AJ44" s="136"/>
      <c r="AK44" s="136"/>
      <c r="AL44" s="136"/>
      <c r="AM44" s="136"/>
      <c r="AN44" s="136"/>
      <c r="AO44" s="136"/>
      <c r="AP44" s="136"/>
      <c r="AQ44" s="137"/>
    </row>
    <row r="45" spans="1:44" ht="15" customHeight="1" x14ac:dyDescent="0.25">
      <c r="A45" s="136"/>
      <c r="B45" s="136"/>
      <c r="C45" s="245"/>
      <c r="D45" s="245"/>
      <c r="E45" s="245"/>
      <c r="F45" s="245"/>
      <c r="G45" s="245"/>
      <c r="H45" s="245"/>
      <c r="I45" s="245"/>
      <c r="J45" s="245"/>
      <c r="K45" s="245"/>
      <c r="L45" s="245"/>
      <c r="M45" s="245"/>
      <c r="N45" s="245"/>
      <c r="O45" s="245"/>
      <c r="P45" s="245"/>
      <c r="Q45" s="245"/>
      <c r="R45" s="245"/>
      <c r="S45" s="245"/>
      <c r="T45" s="245"/>
      <c r="U45" s="245"/>
      <c r="V45" s="245"/>
      <c r="W45" s="245"/>
      <c r="X45" s="137">
        <f t="shared" si="0"/>
        <v>0</v>
      </c>
      <c r="Y45" s="138" t="s">
        <v>44</v>
      </c>
      <c r="Z45" s="261"/>
      <c r="AA45" s="254"/>
      <c r="AB45" s="254"/>
      <c r="AC45" s="255"/>
      <c r="AD45" s="135">
        <f>X45*Z45/100</f>
        <v>0</v>
      </c>
      <c r="AE45" s="137"/>
      <c r="AF45" s="135">
        <f t="shared" si="5"/>
        <v>0</v>
      </c>
      <c r="AG45" s="137"/>
      <c r="AH45" s="108">
        <f t="shared" si="3"/>
        <v>0</v>
      </c>
      <c r="AI45" s="153"/>
      <c r="AJ45" s="136"/>
      <c r="AK45" s="136"/>
      <c r="AL45" s="136"/>
      <c r="AM45" s="136"/>
      <c r="AN45" s="136"/>
      <c r="AO45" s="136"/>
      <c r="AP45" s="136"/>
      <c r="AQ45" s="137"/>
    </row>
    <row r="46" spans="1:44" ht="15" customHeight="1" x14ac:dyDescent="0.25">
      <c r="A46" s="136"/>
      <c r="B46" s="136"/>
      <c r="C46" s="245"/>
      <c r="D46" s="245"/>
      <c r="E46" s="245"/>
      <c r="F46" s="245"/>
      <c r="G46" s="245"/>
      <c r="H46" s="245"/>
      <c r="I46" s="245"/>
      <c r="J46" s="245"/>
      <c r="K46" s="245"/>
      <c r="L46" s="245"/>
      <c r="M46" s="245"/>
      <c r="N46" s="245"/>
      <c r="O46" s="245"/>
      <c r="P46" s="245"/>
      <c r="Q46" s="245"/>
      <c r="R46" s="245"/>
      <c r="S46" s="262"/>
      <c r="T46" s="245"/>
      <c r="U46" s="245"/>
      <c r="V46" s="245"/>
      <c r="W46" s="245"/>
      <c r="X46" s="137">
        <f t="shared" si="0"/>
        <v>0</v>
      </c>
      <c r="Y46" s="138" t="s">
        <v>29</v>
      </c>
      <c r="Z46" s="261"/>
      <c r="AA46" s="254"/>
      <c r="AB46" s="254"/>
      <c r="AC46" s="255"/>
      <c r="AD46" s="135">
        <f>X46*Z46/100</f>
        <v>0</v>
      </c>
      <c r="AE46" s="137"/>
      <c r="AF46" s="135">
        <f t="shared" si="5"/>
        <v>0</v>
      </c>
      <c r="AG46" s="137"/>
      <c r="AH46" s="108">
        <f t="shared" si="3"/>
        <v>0</v>
      </c>
      <c r="AI46" s="153"/>
      <c r="AJ46" s="136"/>
      <c r="AK46" s="136"/>
      <c r="AL46" s="136"/>
      <c r="AM46" s="136"/>
      <c r="AN46" s="136"/>
      <c r="AO46" s="136"/>
      <c r="AP46" s="136"/>
      <c r="AQ46" s="137"/>
    </row>
    <row r="47" spans="1:44" ht="15" customHeight="1" x14ac:dyDescent="0.25">
      <c r="A47" s="136"/>
      <c r="B47" s="136"/>
      <c r="C47" s="245"/>
      <c r="D47" s="245"/>
      <c r="E47" s="245"/>
      <c r="F47" s="245"/>
      <c r="G47" s="245"/>
      <c r="H47" s="245"/>
      <c r="I47" s="245"/>
      <c r="J47" s="245"/>
      <c r="K47" s="245"/>
      <c r="L47" s="245"/>
      <c r="M47" s="245"/>
      <c r="N47" s="245"/>
      <c r="O47" s="245"/>
      <c r="P47" s="245"/>
      <c r="Q47" s="245"/>
      <c r="R47" s="245"/>
      <c r="S47" s="245"/>
      <c r="T47" s="245"/>
      <c r="U47" s="245"/>
      <c r="V47" s="245"/>
      <c r="W47" s="245"/>
      <c r="X47" s="137">
        <f t="shared" si="0"/>
        <v>0</v>
      </c>
      <c r="Y47" s="138" t="s">
        <v>30</v>
      </c>
      <c r="Z47" s="261"/>
      <c r="AA47" s="254"/>
      <c r="AB47" s="254"/>
      <c r="AC47" s="255"/>
      <c r="AD47" s="135">
        <f>X47*Z47/100</f>
        <v>0</v>
      </c>
      <c r="AE47" s="137"/>
      <c r="AF47" s="135">
        <f t="shared" si="5"/>
        <v>0</v>
      </c>
      <c r="AG47" s="137"/>
      <c r="AH47" s="108">
        <f t="shared" si="3"/>
        <v>0</v>
      </c>
      <c r="AI47" s="153"/>
      <c r="AJ47" s="136"/>
      <c r="AK47" s="136"/>
      <c r="AL47" s="136"/>
      <c r="AM47" s="136"/>
      <c r="AN47" s="136"/>
      <c r="AO47" s="136"/>
      <c r="AP47" s="136"/>
      <c r="AQ47" s="137"/>
    </row>
    <row r="48" spans="1:44" s="1" customFormat="1" ht="15" customHeight="1" x14ac:dyDescent="0.25">
      <c r="A48" s="272"/>
      <c r="B48" s="272"/>
      <c r="C48" s="273"/>
      <c r="D48" s="273"/>
      <c r="E48" s="273"/>
      <c r="F48" s="273"/>
      <c r="G48" s="273"/>
      <c r="H48" s="273"/>
      <c r="I48" s="245"/>
      <c r="J48" s="245"/>
      <c r="K48" s="273"/>
      <c r="L48" s="273"/>
      <c r="M48" s="273"/>
      <c r="N48" s="144">
        <f>AH48-AE48</f>
        <v>0</v>
      </c>
      <c r="O48" s="245"/>
      <c r="P48" s="245"/>
      <c r="Q48" s="245"/>
      <c r="R48" s="245"/>
      <c r="S48" s="245"/>
      <c r="T48" s="245"/>
      <c r="U48" s="245"/>
      <c r="V48" s="245"/>
      <c r="W48" s="245"/>
      <c r="X48" s="137">
        <f t="shared" si="0"/>
        <v>0</v>
      </c>
      <c r="Y48" s="138" t="s">
        <v>116</v>
      </c>
      <c r="Z48" s="140"/>
      <c r="AA48" s="144"/>
      <c r="AB48" s="144"/>
      <c r="AC48" s="139"/>
      <c r="AD48" s="261">
        <f>-AG48/$D$2%</f>
        <v>0</v>
      </c>
      <c r="AE48" s="255"/>
      <c r="AF48" s="140">
        <f>X48*AB48/100</f>
        <v>0</v>
      </c>
      <c r="AG48" s="255"/>
      <c r="AH48" s="159"/>
      <c r="AI48" s="270"/>
      <c r="AJ48" s="272"/>
      <c r="AK48" s="272"/>
      <c r="AL48" s="272"/>
      <c r="AM48" s="272"/>
      <c r="AN48" s="272"/>
      <c r="AO48" s="272"/>
      <c r="AP48" s="272"/>
      <c r="AQ48" s="171"/>
    </row>
    <row r="49" spans="1:43" s="1" customFormat="1" ht="15" customHeight="1" x14ac:dyDescent="0.25">
      <c r="A49" s="272"/>
      <c r="B49" s="272"/>
      <c r="C49" s="273"/>
      <c r="D49" s="273"/>
      <c r="E49" s="273"/>
      <c r="F49" s="273"/>
      <c r="G49" s="273"/>
      <c r="H49" s="273"/>
      <c r="I49" s="245"/>
      <c r="J49" s="245"/>
      <c r="K49" s="273"/>
      <c r="L49" s="273"/>
      <c r="M49" s="273"/>
      <c r="N49" s="144"/>
      <c r="O49" s="245"/>
      <c r="P49" s="245"/>
      <c r="Q49" s="245"/>
      <c r="R49" s="245"/>
      <c r="S49" s="245"/>
      <c r="T49" s="245"/>
      <c r="U49" s="245"/>
      <c r="V49" s="245"/>
      <c r="W49" s="245"/>
      <c r="X49" s="137">
        <f t="shared" si="0"/>
        <v>0</v>
      </c>
      <c r="Y49" s="138" t="s">
        <v>117</v>
      </c>
      <c r="Z49" s="140"/>
      <c r="AA49" s="144"/>
      <c r="AB49" s="144"/>
      <c r="AC49" s="139"/>
      <c r="AD49" s="261">
        <f>-AG49/$D$2%</f>
        <v>0</v>
      </c>
      <c r="AE49" s="255"/>
      <c r="AF49" s="261">
        <f>X49*AB49/100</f>
        <v>0</v>
      </c>
      <c r="AG49" s="255"/>
      <c r="AH49" s="159"/>
      <c r="AI49" s="270"/>
      <c r="AJ49" s="272"/>
      <c r="AK49" s="272"/>
      <c r="AL49" s="272"/>
      <c r="AM49" s="272"/>
      <c r="AN49" s="272"/>
      <c r="AO49" s="272"/>
      <c r="AP49" s="272"/>
      <c r="AQ49" s="171"/>
    </row>
    <row r="50" spans="1:43" ht="15" customHeight="1" x14ac:dyDescent="0.25">
      <c r="A50" s="136"/>
      <c r="B50" s="136"/>
      <c r="C50" s="273"/>
      <c r="D50" s="273"/>
      <c r="E50" s="273"/>
      <c r="F50" s="273"/>
      <c r="G50" s="273"/>
      <c r="H50" s="273"/>
      <c r="I50" s="273"/>
      <c r="J50" s="273"/>
      <c r="K50" s="273"/>
      <c r="L50" s="273"/>
      <c r="M50" s="273"/>
      <c r="N50" s="254"/>
      <c r="O50" s="245"/>
      <c r="P50" s="245"/>
      <c r="Q50" s="245"/>
      <c r="R50" s="245"/>
      <c r="S50" s="245"/>
      <c r="T50" s="245"/>
      <c r="U50" s="245"/>
      <c r="V50" s="245"/>
      <c r="W50" s="245"/>
      <c r="X50" s="137">
        <f t="shared" si="0"/>
        <v>0</v>
      </c>
      <c r="Y50" s="167" t="s">
        <v>36</v>
      </c>
      <c r="Z50" s="261"/>
      <c r="AA50" s="254"/>
      <c r="AB50" s="254"/>
      <c r="AC50" s="255"/>
      <c r="AD50" s="135"/>
      <c r="AE50" s="137"/>
      <c r="AF50" s="135">
        <f t="shared" si="5"/>
        <v>0</v>
      </c>
      <c r="AG50" s="137"/>
      <c r="AH50" s="108">
        <f t="shared" si="3"/>
        <v>0</v>
      </c>
      <c r="AI50" s="153"/>
      <c r="AJ50" s="136"/>
      <c r="AK50" s="136"/>
      <c r="AL50" s="136"/>
      <c r="AM50" s="136"/>
      <c r="AN50" s="136"/>
      <c r="AO50" s="136"/>
      <c r="AP50" s="136"/>
      <c r="AQ50" s="137"/>
    </row>
    <row r="51" spans="1:43" ht="15" customHeight="1" x14ac:dyDescent="0.25">
      <c r="A51" s="136"/>
      <c r="B51" s="136"/>
      <c r="C51" s="273"/>
      <c r="D51" s="273"/>
      <c r="E51" s="273"/>
      <c r="F51" s="273"/>
      <c r="G51" s="273"/>
      <c r="H51" s="273"/>
      <c r="I51" s="273"/>
      <c r="J51" s="273"/>
      <c r="K51" s="273"/>
      <c r="L51" s="273"/>
      <c r="M51" s="273"/>
      <c r="N51" s="254"/>
      <c r="O51" s="245"/>
      <c r="P51" s="245"/>
      <c r="Q51" s="245"/>
      <c r="R51" s="245"/>
      <c r="S51" s="245"/>
      <c r="T51" s="245"/>
      <c r="U51" s="245"/>
      <c r="V51" s="245"/>
      <c r="W51" s="245"/>
      <c r="X51" s="137">
        <f t="shared" si="0"/>
        <v>0</v>
      </c>
      <c r="Y51" s="138" t="s">
        <v>31</v>
      </c>
      <c r="Z51" s="261"/>
      <c r="AA51" s="254"/>
      <c r="AB51" s="254"/>
      <c r="AC51" s="255"/>
      <c r="AD51" s="135">
        <f>X51*Z51/100</f>
        <v>0</v>
      </c>
      <c r="AE51" s="137"/>
      <c r="AF51" s="135">
        <f t="shared" si="5"/>
        <v>0</v>
      </c>
      <c r="AG51" s="137"/>
      <c r="AH51" s="108">
        <f t="shared" si="3"/>
        <v>0</v>
      </c>
      <c r="AI51" s="153"/>
      <c r="AJ51" s="136"/>
      <c r="AK51" s="136"/>
      <c r="AL51" s="136"/>
      <c r="AM51" s="136"/>
      <c r="AN51" s="136"/>
      <c r="AO51" s="136"/>
      <c r="AP51" s="136"/>
      <c r="AQ51" s="137"/>
    </row>
    <row r="52" spans="1:43" ht="15" customHeight="1" x14ac:dyDescent="0.25">
      <c r="A52" s="136"/>
      <c r="B52" s="136"/>
      <c r="C52" s="273"/>
      <c r="D52" s="273"/>
      <c r="E52" s="273"/>
      <c r="F52" s="273"/>
      <c r="G52" s="273"/>
      <c r="H52" s="273"/>
      <c r="I52" s="273"/>
      <c r="J52" s="273"/>
      <c r="K52" s="273"/>
      <c r="L52" s="273"/>
      <c r="M52" s="273"/>
      <c r="N52" s="254"/>
      <c r="O52" s="245"/>
      <c r="P52" s="245"/>
      <c r="Q52" s="245"/>
      <c r="R52" s="245"/>
      <c r="S52" s="245"/>
      <c r="T52" s="245"/>
      <c r="U52" s="245"/>
      <c r="V52" s="245"/>
      <c r="W52" s="245"/>
      <c r="X52" s="137">
        <f t="shared" si="0"/>
        <v>0</v>
      </c>
      <c r="Y52" s="138" t="s">
        <v>65</v>
      </c>
      <c r="Z52" s="261"/>
      <c r="AA52" s="254"/>
      <c r="AB52" s="254"/>
      <c r="AC52" s="255">
        <f>100-25</f>
        <v>75</v>
      </c>
      <c r="AD52" s="140"/>
      <c r="AE52" s="139"/>
      <c r="AF52" s="140">
        <f>-SUM(AF44:AF51)</f>
        <v>0</v>
      </c>
      <c r="AG52" s="139">
        <f>-AF52*AC52/100</f>
        <v>0</v>
      </c>
      <c r="AH52" s="108">
        <f t="shared" si="3"/>
        <v>0</v>
      </c>
      <c r="AI52" s="153">
        <f>AG52*62.71%</f>
        <v>0</v>
      </c>
      <c r="AJ52" s="153">
        <f>AG52*9.72%</f>
        <v>0</v>
      </c>
      <c r="AK52" s="136">
        <f>AG52*12.13%</f>
        <v>0</v>
      </c>
      <c r="AL52" s="136">
        <f>AG52*7.13%</f>
        <v>0</v>
      </c>
      <c r="AM52" s="136">
        <f>AG52*0%</f>
        <v>0</v>
      </c>
      <c r="AN52" s="136">
        <f>AG52*6.34%</f>
        <v>0</v>
      </c>
      <c r="AO52" s="136">
        <f>AG52*1.97%</f>
        <v>0</v>
      </c>
      <c r="AP52" s="136"/>
      <c r="AQ52" s="137"/>
    </row>
    <row r="53" spans="1:43" ht="15" customHeight="1" x14ac:dyDescent="0.25">
      <c r="A53" s="136"/>
      <c r="B53" s="136"/>
      <c r="C53" s="273"/>
      <c r="D53" s="273"/>
      <c r="E53" s="273"/>
      <c r="F53" s="273"/>
      <c r="G53" s="273"/>
      <c r="H53" s="273"/>
      <c r="I53" s="245"/>
      <c r="J53" s="273"/>
      <c r="K53" s="273"/>
      <c r="L53" s="273"/>
      <c r="M53" s="273"/>
      <c r="N53" s="254"/>
      <c r="O53" s="245"/>
      <c r="P53" s="245"/>
      <c r="Q53" s="245"/>
      <c r="R53" s="245"/>
      <c r="S53" s="245"/>
      <c r="T53" s="245"/>
      <c r="U53" s="245"/>
      <c r="V53" s="245">
        <f>23.389+2.8908</f>
        <v>26.279799999999998</v>
      </c>
      <c r="W53" s="245"/>
      <c r="X53" s="137">
        <f t="shared" si="0"/>
        <v>26.279799999999998</v>
      </c>
      <c r="Y53" s="138" t="s">
        <v>16</v>
      </c>
      <c r="Z53" s="261">
        <v>24.37</v>
      </c>
      <c r="AA53" s="254"/>
      <c r="AB53" s="254"/>
      <c r="AC53" s="255"/>
      <c r="AD53" s="140">
        <f>X53*Z53/100</f>
        <v>6.40438726</v>
      </c>
      <c r="AE53" s="139"/>
      <c r="AF53" s="140">
        <f>X53*AB53/100</f>
        <v>0</v>
      </c>
      <c r="AG53" s="139"/>
      <c r="AH53" s="108">
        <f t="shared" ref="AH53:AH80" si="6">SUM(AI53:AQ53)</f>
        <v>0</v>
      </c>
      <c r="AI53" s="153"/>
      <c r="AJ53" s="254"/>
      <c r="AK53" s="272"/>
      <c r="AL53" s="272"/>
      <c r="AM53" s="272"/>
      <c r="AN53" s="272"/>
      <c r="AO53" s="272"/>
      <c r="AP53" s="272"/>
      <c r="AQ53" s="137"/>
    </row>
    <row r="54" spans="1:43" ht="15" customHeight="1" x14ac:dyDescent="0.25">
      <c r="A54" s="136"/>
      <c r="B54" s="136"/>
      <c r="C54" s="273"/>
      <c r="D54" s="273"/>
      <c r="E54" s="273"/>
      <c r="F54" s="273"/>
      <c r="G54" s="273"/>
      <c r="H54" s="273"/>
      <c r="I54" s="273"/>
      <c r="J54" s="273"/>
      <c r="K54" s="273"/>
      <c r="L54" s="273"/>
      <c r="M54" s="273"/>
      <c r="N54" s="254"/>
      <c r="O54" s="245"/>
      <c r="P54" s="245"/>
      <c r="Q54" s="245"/>
      <c r="R54" s="245"/>
      <c r="S54" s="245"/>
      <c r="T54" s="245"/>
      <c r="U54" s="245"/>
      <c r="V54" s="245"/>
      <c r="W54" s="245"/>
      <c r="X54" s="137">
        <f t="shared" si="0"/>
        <v>0</v>
      </c>
      <c r="Y54" s="138" t="s">
        <v>17</v>
      </c>
      <c r="Z54" s="261"/>
      <c r="AA54" s="254"/>
      <c r="AB54" s="254"/>
      <c r="AC54" s="255"/>
      <c r="AD54" s="140">
        <f>X54*Z54/100</f>
        <v>0</v>
      </c>
      <c r="AE54" s="139"/>
      <c r="AF54" s="140">
        <f>X54*AB54/100</f>
        <v>0</v>
      </c>
      <c r="AG54" s="139"/>
      <c r="AH54" s="108">
        <f t="shared" si="6"/>
        <v>0</v>
      </c>
      <c r="AI54" s="153"/>
      <c r="AJ54" s="254"/>
      <c r="AK54" s="272"/>
      <c r="AL54" s="272"/>
      <c r="AM54" s="272"/>
      <c r="AN54" s="272"/>
      <c r="AO54" s="272"/>
      <c r="AP54" s="272"/>
      <c r="AQ54" s="137"/>
    </row>
    <row r="55" spans="1:43" ht="15" customHeight="1" x14ac:dyDescent="0.25">
      <c r="A55" s="136"/>
      <c r="B55" s="136"/>
      <c r="C55" s="273"/>
      <c r="D55" s="273"/>
      <c r="E55" s="273"/>
      <c r="F55" s="273"/>
      <c r="G55" s="273"/>
      <c r="H55" s="273"/>
      <c r="I55" s="273"/>
      <c r="J55" s="273"/>
      <c r="K55" s="273"/>
      <c r="L55" s="273"/>
      <c r="M55" s="273"/>
      <c r="N55" s="254"/>
      <c r="O55" s="245"/>
      <c r="P55" s="245"/>
      <c r="Q55" s="245"/>
      <c r="R55" s="245"/>
      <c r="S55" s="245"/>
      <c r="T55" s="245"/>
      <c r="U55" s="245"/>
      <c r="V55" s="245"/>
      <c r="W55" s="245"/>
      <c r="X55" s="137">
        <f t="shared" si="0"/>
        <v>0</v>
      </c>
      <c r="Y55" s="138" t="s">
        <v>66</v>
      </c>
      <c r="Z55" s="261"/>
      <c r="AA55" s="254"/>
      <c r="AB55" s="254"/>
      <c r="AC55" s="255">
        <f>100-25</f>
        <v>75</v>
      </c>
      <c r="AD55" s="140"/>
      <c r="AE55" s="139"/>
      <c r="AF55" s="140">
        <f>-SUM(AF53:AF54)</f>
        <v>0</v>
      </c>
      <c r="AG55" s="139">
        <f>-AF55*AC55/100</f>
        <v>0</v>
      </c>
      <c r="AH55" s="108">
        <f t="shared" si="6"/>
        <v>0</v>
      </c>
      <c r="AI55" s="153">
        <f>AG55*62.71%</f>
        <v>0</v>
      </c>
      <c r="AJ55" s="153">
        <f>AG55*9.72%</f>
        <v>0</v>
      </c>
      <c r="AK55" s="136">
        <f>AG55*12.13%</f>
        <v>0</v>
      </c>
      <c r="AL55" s="136">
        <f>AG55*7.13%</f>
        <v>0</v>
      </c>
      <c r="AM55" s="136">
        <f>AG55*0%</f>
        <v>0</v>
      </c>
      <c r="AN55" s="136">
        <f>AG55*6.34%</f>
        <v>0</v>
      </c>
      <c r="AO55" s="136">
        <f>AG55*1.97%</f>
        <v>0</v>
      </c>
      <c r="AP55" s="136"/>
      <c r="AQ55" s="137"/>
    </row>
    <row r="56" spans="1:43" ht="15" customHeight="1" x14ac:dyDescent="0.25">
      <c r="A56" s="136"/>
      <c r="B56" s="136"/>
      <c r="C56" s="273"/>
      <c r="D56" s="245"/>
      <c r="E56" s="245">
        <v>0.8</v>
      </c>
      <c r="F56" s="245"/>
      <c r="G56" s="245"/>
      <c r="H56" s="245"/>
      <c r="I56" s="245">
        <v>7</v>
      </c>
      <c r="J56" s="245"/>
      <c r="K56" s="245"/>
      <c r="L56" s="245"/>
      <c r="M56" s="245"/>
      <c r="N56" s="254"/>
      <c r="O56" s="245"/>
      <c r="P56" s="245"/>
      <c r="Q56" s="245">
        <v>22</v>
      </c>
      <c r="R56" s="245"/>
      <c r="S56" s="245"/>
      <c r="T56" s="245"/>
      <c r="U56" s="245"/>
      <c r="V56" s="245"/>
      <c r="W56" s="245"/>
      <c r="X56" s="137">
        <f t="shared" si="0"/>
        <v>29.8</v>
      </c>
      <c r="Y56" s="138" t="s">
        <v>28</v>
      </c>
      <c r="Z56" s="261"/>
      <c r="AA56" s="254"/>
      <c r="AB56" s="254">
        <v>66.540000000000006</v>
      </c>
      <c r="AC56" s="255"/>
      <c r="AD56" s="140"/>
      <c r="AE56" s="139"/>
      <c r="AF56" s="140">
        <f>X56*AB56/100</f>
        <v>19.828920000000004</v>
      </c>
      <c r="AG56" s="139"/>
      <c r="AH56" s="108">
        <f t="shared" si="6"/>
        <v>0</v>
      </c>
      <c r="AI56" s="153"/>
      <c r="AJ56" s="136"/>
      <c r="AK56" s="136"/>
      <c r="AL56" s="136"/>
      <c r="AM56" s="136"/>
      <c r="AN56" s="136"/>
      <c r="AO56" s="136"/>
      <c r="AP56" s="136"/>
      <c r="AQ56" s="137"/>
    </row>
    <row r="57" spans="1:43" ht="15" customHeight="1" x14ac:dyDescent="0.25">
      <c r="A57" s="136"/>
      <c r="B57" s="136"/>
      <c r="C57" s="168"/>
      <c r="D57" s="168"/>
      <c r="E57" s="168"/>
      <c r="F57" s="168"/>
      <c r="G57" s="168"/>
      <c r="H57" s="168"/>
      <c r="I57" s="169"/>
      <c r="J57" s="168"/>
      <c r="K57" s="168"/>
      <c r="L57" s="168"/>
      <c r="M57" s="168"/>
      <c r="N57" s="144"/>
      <c r="O57" s="169"/>
      <c r="P57" s="169"/>
      <c r="Q57" s="169"/>
      <c r="R57" s="169"/>
      <c r="S57" s="169"/>
      <c r="T57" s="169"/>
      <c r="U57" s="169"/>
      <c r="V57" s="169"/>
      <c r="W57" s="169"/>
      <c r="X57" s="137">
        <f t="shared" si="0"/>
        <v>0</v>
      </c>
      <c r="Y57" s="138" t="s">
        <v>120</v>
      </c>
      <c r="Z57" s="140"/>
      <c r="AA57" s="144"/>
      <c r="AB57" s="144"/>
      <c r="AC57" s="139"/>
      <c r="AD57" s="140">
        <f>-AG57/$D$2%</f>
        <v>0</v>
      </c>
      <c r="AE57" s="139"/>
      <c r="AF57" s="140">
        <f>AE57*AB57%</f>
        <v>0</v>
      </c>
      <c r="AG57" s="137"/>
      <c r="AH57" s="108"/>
      <c r="AI57" s="153"/>
      <c r="AJ57" s="136"/>
      <c r="AK57" s="136"/>
      <c r="AL57" s="136"/>
      <c r="AM57" s="136"/>
      <c r="AN57" s="136"/>
      <c r="AO57" s="136"/>
      <c r="AP57" s="136"/>
      <c r="AQ57" s="137"/>
    </row>
    <row r="58" spans="1:43" ht="15" customHeight="1" x14ac:dyDescent="0.25">
      <c r="A58" s="144"/>
      <c r="B58" s="144"/>
      <c r="C58" s="169"/>
      <c r="D58" s="169"/>
      <c r="E58" s="169"/>
      <c r="F58" s="169"/>
      <c r="G58" s="169"/>
      <c r="H58" s="169"/>
      <c r="I58" s="169"/>
      <c r="J58" s="169"/>
      <c r="K58" s="169"/>
      <c r="L58" s="169"/>
      <c r="M58" s="169"/>
      <c r="N58" s="169"/>
      <c r="O58" s="169"/>
      <c r="P58" s="169"/>
      <c r="Q58" s="169"/>
      <c r="R58" s="169"/>
      <c r="S58" s="169"/>
      <c r="T58" s="169"/>
      <c r="U58" s="169"/>
      <c r="V58" s="169"/>
      <c r="W58" s="169"/>
      <c r="X58" s="137">
        <f t="shared" si="0"/>
        <v>0</v>
      </c>
      <c r="Y58" s="138" t="s">
        <v>118</v>
      </c>
      <c r="Z58" s="140"/>
      <c r="AA58" s="144"/>
      <c r="AB58" s="144"/>
      <c r="AC58" s="139"/>
      <c r="AD58" s="140"/>
      <c r="AE58" s="139"/>
      <c r="AF58" s="156">
        <f>AE58*AB58%</f>
        <v>0</v>
      </c>
      <c r="AG58" s="139"/>
      <c r="AH58" s="108"/>
      <c r="AI58" s="153"/>
      <c r="AJ58" s="136"/>
      <c r="AK58" s="136"/>
      <c r="AL58" s="136"/>
      <c r="AM58" s="136"/>
      <c r="AN58" s="136"/>
      <c r="AO58" s="136"/>
      <c r="AP58" s="136"/>
      <c r="AQ58" s="137"/>
    </row>
    <row r="59" spans="1:43" ht="15" customHeight="1" x14ac:dyDescent="0.25">
      <c r="A59" s="136"/>
      <c r="B59" s="136"/>
      <c r="C59" s="169"/>
      <c r="D59" s="169"/>
      <c r="E59" s="169"/>
      <c r="F59" s="169"/>
      <c r="G59" s="169"/>
      <c r="H59" s="169"/>
      <c r="I59" s="169"/>
      <c r="J59" s="169"/>
      <c r="K59" s="169"/>
      <c r="L59" s="169"/>
      <c r="M59" s="169"/>
      <c r="N59" s="169"/>
      <c r="O59" s="169"/>
      <c r="P59" s="169"/>
      <c r="Q59" s="169"/>
      <c r="R59" s="169"/>
      <c r="S59" s="169"/>
      <c r="T59" s="169"/>
      <c r="U59" s="169"/>
      <c r="V59" s="169"/>
      <c r="W59" s="169"/>
      <c r="X59" s="137">
        <f t="shared" si="0"/>
        <v>0</v>
      </c>
      <c r="Y59" s="138" t="s">
        <v>119</v>
      </c>
      <c r="Z59" s="140"/>
      <c r="AA59" s="144"/>
      <c r="AB59" s="144"/>
      <c r="AC59" s="139"/>
      <c r="AD59" s="140"/>
      <c r="AE59" s="139"/>
      <c r="AF59" s="140">
        <f>X59*AB59/100</f>
        <v>0</v>
      </c>
      <c r="AG59" s="139"/>
      <c r="AH59" s="108"/>
      <c r="AI59" s="153"/>
      <c r="AJ59" s="136"/>
      <c r="AK59" s="136"/>
      <c r="AL59" s="136"/>
      <c r="AM59" s="136"/>
      <c r="AN59" s="136"/>
      <c r="AO59" s="136"/>
      <c r="AP59" s="136"/>
      <c r="AQ59" s="137"/>
    </row>
    <row r="60" spans="1:43" ht="15" customHeight="1" x14ac:dyDescent="0.25">
      <c r="A60" s="136"/>
      <c r="B60" s="136"/>
      <c r="C60" s="273"/>
      <c r="D60" s="273"/>
      <c r="E60" s="273"/>
      <c r="F60" s="273"/>
      <c r="G60" s="273"/>
      <c r="H60" s="273"/>
      <c r="I60" s="274"/>
      <c r="J60" s="273"/>
      <c r="K60" s="273"/>
      <c r="L60" s="245"/>
      <c r="M60" s="273"/>
      <c r="N60" s="245"/>
      <c r="O60" s="245"/>
      <c r="P60" s="245"/>
      <c r="Q60" s="245"/>
      <c r="R60" s="245"/>
      <c r="S60" s="245"/>
      <c r="T60" s="245"/>
      <c r="U60" s="245"/>
      <c r="V60" s="245"/>
      <c r="W60" s="245"/>
      <c r="X60" s="137">
        <f t="shared" si="0"/>
        <v>0</v>
      </c>
      <c r="Y60" s="138" t="s">
        <v>255</v>
      </c>
      <c r="Z60" s="261"/>
      <c r="AA60" s="254"/>
      <c r="AB60" s="254"/>
      <c r="AC60" s="255"/>
      <c r="AD60" s="140"/>
      <c r="AE60" s="139"/>
      <c r="AF60" s="140">
        <f>X60*AB60/100</f>
        <v>0</v>
      </c>
      <c r="AG60" s="139"/>
      <c r="AH60" s="108">
        <f t="shared" si="6"/>
        <v>0</v>
      </c>
      <c r="AI60" s="153"/>
      <c r="AJ60" s="136"/>
      <c r="AK60" s="136"/>
      <c r="AL60" s="136"/>
      <c r="AM60" s="136"/>
      <c r="AN60" s="136"/>
      <c r="AO60" s="136"/>
      <c r="AP60" s="136"/>
      <c r="AQ60" s="137"/>
    </row>
    <row r="61" spans="1:43" ht="15" customHeight="1" x14ac:dyDescent="0.25">
      <c r="A61" s="135"/>
      <c r="B61" s="136"/>
      <c r="C61" s="273"/>
      <c r="D61" s="273"/>
      <c r="E61" s="273"/>
      <c r="F61" s="273"/>
      <c r="G61" s="273"/>
      <c r="H61" s="273"/>
      <c r="I61" s="273"/>
      <c r="J61" s="273"/>
      <c r="K61" s="273"/>
      <c r="L61" s="273"/>
      <c r="M61" s="273"/>
      <c r="N61" s="245"/>
      <c r="O61" s="245"/>
      <c r="P61" s="245"/>
      <c r="Q61" s="245"/>
      <c r="R61" s="245"/>
      <c r="S61" s="245"/>
      <c r="T61" s="245"/>
      <c r="U61" s="245"/>
      <c r="V61" s="245"/>
      <c r="W61" s="245"/>
      <c r="X61" s="137">
        <f t="shared" si="0"/>
        <v>0</v>
      </c>
      <c r="Y61" s="138" t="s">
        <v>37</v>
      </c>
      <c r="Z61" s="261"/>
      <c r="AA61" s="254"/>
      <c r="AB61" s="254"/>
      <c r="AC61" s="255"/>
      <c r="AD61" s="140">
        <f>X61*Z61%</f>
        <v>0</v>
      </c>
      <c r="AE61" s="139"/>
      <c r="AF61" s="140">
        <f>X61*AB61%</f>
        <v>0</v>
      </c>
      <c r="AG61" s="139"/>
      <c r="AH61" s="108">
        <f t="shared" si="6"/>
        <v>0</v>
      </c>
      <c r="AI61" s="153"/>
      <c r="AJ61" s="136"/>
      <c r="AK61" s="136"/>
      <c r="AL61" s="136"/>
      <c r="AM61" s="136"/>
      <c r="AN61" s="136"/>
      <c r="AO61" s="136"/>
      <c r="AP61" s="136"/>
      <c r="AQ61" s="137"/>
    </row>
    <row r="62" spans="1:43" ht="15" customHeight="1" x14ac:dyDescent="0.25">
      <c r="A62" s="136"/>
      <c r="B62" s="136"/>
      <c r="C62" s="273"/>
      <c r="D62" s="273"/>
      <c r="E62" s="273"/>
      <c r="F62" s="273"/>
      <c r="G62" s="273"/>
      <c r="H62" s="273"/>
      <c r="I62" s="274"/>
      <c r="J62" s="273"/>
      <c r="K62" s="273"/>
      <c r="L62" s="273"/>
      <c r="M62" s="273"/>
      <c r="N62" s="273"/>
      <c r="O62" s="273"/>
      <c r="P62" s="273"/>
      <c r="Q62" s="273"/>
      <c r="R62" s="273"/>
      <c r="S62" s="273"/>
      <c r="T62" s="273"/>
      <c r="U62" s="273"/>
      <c r="V62" s="273"/>
      <c r="W62" s="273"/>
      <c r="X62" s="137">
        <f t="shared" si="0"/>
        <v>0</v>
      </c>
      <c r="Y62" s="138" t="s">
        <v>115</v>
      </c>
      <c r="Z62" s="261"/>
      <c r="AA62" s="254"/>
      <c r="AB62" s="254"/>
      <c r="AC62" s="255">
        <f>100-25</f>
        <v>75</v>
      </c>
      <c r="AD62" s="140"/>
      <c r="AE62" s="139"/>
      <c r="AF62" s="271">
        <f>-SUM(AF56:AF60)</f>
        <v>-19.828920000000004</v>
      </c>
      <c r="AG62" s="139">
        <f>-AF62*AC62/100</f>
        <v>14.871690000000003</v>
      </c>
      <c r="AH62" s="108">
        <f t="shared" si="6"/>
        <v>14.871690000000005</v>
      </c>
      <c r="AI62" s="153">
        <f>AG62*62.71%</f>
        <v>9.3260367990000024</v>
      </c>
      <c r="AJ62" s="153">
        <f>AG62*9.72%</f>
        <v>1.4455282680000003</v>
      </c>
      <c r="AK62" s="136">
        <f>AG62*12.13%</f>
        <v>1.8039359970000004</v>
      </c>
      <c r="AL62" s="136">
        <f>AG62*7.13%</f>
        <v>1.0603514970000003</v>
      </c>
      <c r="AM62" s="136">
        <f>AG62*0%</f>
        <v>0</v>
      </c>
      <c r="AN62" s="136">
        <f>AG62*6.34%</f>
        <v>0.94286514600000015</v>
      </c>
      <c r="AO62" s="136">
        <f>AG62*1.97%</f>
        <v>0.29297229300000005</v>
      </c>
      <c r="AP62" s="136"/>
      <c r="AQ62" s="137"/>
    </row>
    <row r="63" spans="1:43" ht="15" customHeight="1" x14ac:dyDescent="0.25">
      <c r="A63" s="136"/>
      <c r="B63" s="136"/>
      <c r="C63" s="273"/>
      <c r="D63" s="273"/>
      <c r="E63" s="273"/>
      <c r="F63" s="273"/>
      <c r="G63" s="273"/>
      <c r="H63" s="273"/>
      <c r="I63" s="245"/>
      <c r="J63" s="273"/>
      <c r="K63" s="273"/>
      <c r="L63" s="273"/>
      <c r="M63" s="273"/>
      <c r="N63" s="273"/>
      <c r="O63" s="273"/>
      <c r="P63" s="273"/>
      <c r="Q63" s="273"/>
      <c r="R63" s="273"/>
      <c r="S63" s="273"/>
      <c r="T63" s="273"/>
      <c r="U63" s="273"/>
      <c r="V63" s="273"/>
      <c r="W63" s="273"/>
      <c r="X63" s="137">
        <f t="shared" si="0"/>
        <v>0</v>
      </c>
      <c r="Y63" s="138" t="s">
        <v>20</v>
      </c>
      <c r="Z63" s="261"/>
      <c r="AA63" s="254"/>
      <c r="AB63" s="254"/>
      <c r="AC63" s="255"/>
      <c r="AD63" s="135">
        <f t="shared" ref="AD63:AD68" si="7">Z63/100*X63</f>
        <v>0</v>
      </c>
      <c r="AE63" s="137"/>
      <c r="AF63" s="135">
        <f t="shared" ref="AF63:AF68" si="8">X63*AB63/100</f>
        <v>0</v>
      </c>
      <c r="AG63" s="137"/>
      <c r="AH63" s="108">
        <f t="shared" si="6"/>
        <v>0</v>
      </c>
      <c r="AI63" s="153"/>
      <c r="AJ63" s="136"/>
      <c r="AK63" s="136"/>
      <c r="AL63" s="136"/>
      <c r="AM63" s="136"/>
      <c r="AN63" s="136"/>
      <c r="AO63" s="136"/>
      <c r="AP63" s="136"/>
      <c r="AQ63" s="137"/>
    </row>
    <row r="64" spans="1:43" ht="15" customHeight="1" x14ac:dyDescent="0.25">
      <c r="A64" s="136"/>
      <c r="B64" s="136"/>
      <c r="C64" s="273"/>
      <c r="D64" s="273"/>
      <c r="E64" s="273"/>
      <c r="F64" s="273"/>
      <c r="G64" s="273"/>
      <c r="H64" s="273"/>
      <c r="I64" s="273"/>
      <c r="J64" s="273"/>
      <c r="K64" s="273"/>
      <c r="L64" s="273"/>
      <c r="M64" s="273"/>
      <c r="N64" s="273"/>
      <c r="O64" s="245"/>
      <c r="P64" s="245"/>
      <c r="Q64" s="245"/>
      <c r="R64" s="245"/>
      <c r="S64" s="245"/>
      <c r="T64" s="245"/>
      <c r="U64" s="273"/>
      <c r="V64" s="273"/>
      <c r="W64" s="273"/>
      <c r="X64" s="137">
        <f t="shared" si="0"/>
        <v>0</v>
      </c>
      <c r="Y64" s="138" t="s">
        <v>21</v>
      </c>
      <c r="Z64" s="261"/>
      <c r="AA64" s="254"/>
      <c r="AB64" s="254"/>
      <c r="AC64" s="255"/>
      <c r="AD64" s="135">
        <f t="shared" si="7"/>
        <v>0</v>
      </c>
      <c r="AE64" s="137"/>
      <c r="AF64" s="135">
        <f t="shared" si="8"/>
        <v>0</v>
      </c>
      <c r="AG64" s="137"/>
      <c r="AH64" s="108">
        <f t="shared" si="6"/>
        <v>0</v>
      </c>
      <c r="AI64" s="153"/>
      <c r="AJ64" s="136"/>
      <c r="AK64" s="136"/>
      <c r="AL64" s="136"/>
      <c r="AM64" s="136"/>
      <c r="AN64" s="136"/>
      <c r="AO64" s="136"/>
      <c r="AP64" s="136"/>
      <c r="AQ64" s="137"/>
    </row>
    <row r="65" spans="1:43" ht="15" customHeight="1" x14ac:dyDescent="0.25">
      <c r="A65" s="136"/>
      <c r="B65" s="136"/>
      <c r="C65" s="273"/>
      <c r="D65" s="273"/>
      <c r="E65" s="273"/>
      <c r="F65" s="273"/>
      <c r="G65" s="273"/>
      <c r="H65" s="273"/>
      <c r="I65" s="245"/>
      <c r="J65" s="273"/>
      <c r="K65" s="273"/>
      <c r="L65" s="273"/>
      <c r="M65" s="273"/>
      <c r="N65" s="273"/>
      <c r="O65" s="273"/>
      <c r="P65" s="273"/>
      <c r="Q65" s="273"/>
      <c r="R65" s="273"/>
      <c r="S65" s="273"/>
      <c r="T65" s="273"/>
      <c r="U65" s="273"/>
      <c r="V65" s="273"/>
      <c r="W65" s="273"/>
      <c r="X65" s="137">
        <f t="shared" si="0"/>
        <v>0</v>
      </c>
      <c r="Y65" s="138" t="s">
        <v>22</v>
      </c>
      <c r="Z65" s="261"/>
      <c r="AA65" s="254"/>
      <c r="AB65" s="254"/>
      <c r="AC65" s="255"/>
      <c r="AD65" s="135">
        <f t="shared" si="7"/>
        <v>0</v>
      </c>
      <c r="AE65" s="137"/>
      <c r="AF65" s="135">
        <f t="shared" si="8"/>
        <v>0</v>
      </c>
      <c r="AG65" s="137"/>
      <c r="AH65" s="108">
        <f t="shared" si="6"/>
        <v>0</v>
      </c>
      <c r="AI65" s="153"/>
      <c r="AJ65" s="136"/>
      <c r="AK65" s="136"/>
      <c r="AL65" s="136"/>
      <c r="AM65" s="136"/>
      <c r="AN65" s="136"/>
      <c r="AO65" s="136"/>
      <c r="AP65" s="136"/>
      <c r="AQ65" s="137"/>
    </row>
    <row r="66" spans="1:43" ht="15" customHeight="1" x14ac:dyDescent="0.25">
      <c r="A66" s="136"/>
      <c r="B66" s="136"/>
      <c r="C66" s="144"/>
      <c r="D66" s="144"/>
      <c r="E66" s="144"/>
      <c r="F66" s="144"/>
      <c r="G66" s="144"/>
      <c r="H66" s="144"/>
      <c r="I66" s="144"/>
      <c r="J66" s="136"/>
      <c r="K66" s="136"/>
      <c r="L66" s="136"/>
      <c r="M66" s="136"/>
      <c r="N66" s="136"/>
      <c r="O66" s="136"/>
      <c r="P66" s="144"/>
      <c r="Q66" s="136"/>
      <c r="R66" s="136"/>
      <c r="S66" s="144"/>
      <c r="T66" s="136"/>
      <c r="U66" s="136"/>
      <c r="V66" s="144"/>
      <c r="W66" s="136"/>
      <c r="X66" s="137">
        <f t="shared" si="0"/>
        <v>0</v>
      </c>
      <c r="Y66" s="138" t="s">
        <v>23</v>
      </c>
      <c r="Z66" s="261"/>
      <c r="AA66" s="254"/>
      <c r="AB66" s="254"/>
      <c r="AC66" s="255"/>
      <c r="AD66" s="135">
        <f t="shared" si="7"/>
        <v>0</v>
      </c>
      <c r="AE66" s="137"/>
      <c r="AF66" s="135">
        <f t="shared" si="8"/>
        <v>0</v>
      </c>
      <c r="AG66" s="137"/>
      <c r="AH66" s="108">
        <f t="shared" si="6"/>
        <v>0</v>
      </c>
      <c r="AI66" s="153"/>
      <c r="AJ66" s="136"/>
      <c r="AK66" s="136"/>
      <c r="AL66" s="136"/>
      <c r="AM66" s="136"/>
      <c r="AN66" s="136"/>
      <c r="AO66" s="136"/>
      <c r="AP66" s="136"/>
      <c r="AQ66" s="137"/>
    </row>
    <row r="67" spans="1:43" ht="15" customHeight="1" x14ac:dyDescent="0.25">
      <c r="A67" s="136"/>
      <c r="B67" s="136"/>
      <c r="C67" s="144"/>
      <c r="D67" s="144"/>
      <c r="E67" s="144"/>
      <c r="F67" s="144"/>
      <c r="G67" s="144"/>
      <c r="H67" s="144"/>
      <c r="I67" s="144"/>
      <c r="J67" s="136"/>
      <c r="K67" s="136"/>
      <c r="L67" s="136"/>
      <c r="M67" s="136"/>
      <c r="N67" s="136"/>
      <c r="O67" s="136"/>
      <c r="P67" s="144"/>
      <c r="Q67" s="136"/>
      <c r="R67" s="136"/>
      <c r="S67" s="136"/>
      <c r="T67" s="136"/>
      <c r="U67" s="136"/>
      <c r="V67" s="144"/>
      <c r="W67" s="136"/>
      <c r="X67" s="137">
        <f t="shared" si="0"/>
        <v>0</v>
      </c>
      <c r="Y67" s="138" t="s">
        <v>24</v>
      </c>
      <c r="Z67" s="261"/>
      <c r="AA67" s="254"/>
      <c r="AB67" s="254"/>
      <c r="AC67" s="255"/>
      <c r="AD67" s="135">
        <f t="shared" si="7"/>
        <v>0</v>
      </c>
      <c r="AE67" s="137"/>
      <c r="AF67" s="135">
        <f t="shared" si="8"/>
        <v>0</v>
      </c>
      <c r="AG67" s="137"/>
      <c r="AH67" s="108">
        <f t="shared" si="6"/>
        <v>0</v>
      </c>
      <c r="AI67" s="153"/>
      <c r="AJ67" s="136"/>
      <c r="AK67" s="136"/>
      <c r="AL67" s="136"/>
      <c r="AM67" s="136"/>
      <c r="AN67" s="136"/>
      <c r="AO67" s="136"/>
      <c r="AP67" s="136"/>
      <c r="AQ67" s="137"/>
    </row>
    <row r="68" spans="1:43" ht="15" customHeight="1" x14ac:dyDescent="0.25">
      <c r="A68" s="136"/>
      <c r="B68" s="136"/>
      <c r="C68" s="144"/>
      <c r="D68" s="144"/>
      <c r="E68" s="144"/>
      <c r="F68" s="144"/>
      <c r="G68" s="144"/>
      <c r="H68" s="144"/>
      <c r="I68" s="144"/>
      <c r="J68" s="136"/>
      <c r="K68" s="136"/>
      <c r="L68" s="136"/>
      <c r="M68" s="136"/>
      <c r="N68" s="136"/>
      <c r="O68" s="136"/>
      <c r="P68" s="144"/>
      <c r="Q68" s="136"/>
      <c r="R68" s="136"/>
      <c r="S68" s="144"/>
      <c r="T68" s="136"/>
      <c r="U68" s="136"/>
      <c r="V68" s="144"/>
      <c r="W68" s="136"/>
      <c r="X68" s="137">
        <f t="shared" si="0"/>
        <v>0</v>
      </c>
      <c r="Y68" s="138" t="s">
        <v>25</v>
      </c>
      <c r="Z68" s="261"/>
      <c r="AA68" s="254"/>
      <c r="AB68" s="254"/>
      <c r="AC68" s="255"/>
      <c r="AD68" s="135">
        <f t="shared" si="7"/>
        <v>0</v>
      </c>
      <c r="AE68" s="171"/>
      <c r="AF68" s="261">
        <f t="shared" si="8"/>
        <v>0</v>
      </c>
      <c r="AG68" s="137"/>
      <c r="AH68" s="108">
        <f t="shared" si="6"/>
        <v>0</v>
      </c>
      <c r="AI68" s="153"/>
      <c r="AJ68" s="136"/>
      <c r="AK68" s="136"/>
      <c r="AL68" s="136"/>
      <c r="AM68" s="136"/>
      <c r="AN68" s="136"/>
      <c r="AO68" s="136"/>
      <c r="AP68" s="136"/>
      <c r="AQ68" s="137"/>
    </row>
    <row r="69" spans="1:43" ht="15" customHeight="1" x14ac:dyDescent="0.25">
      <c r="A69" s="136"/>
      <c r="B69" s="136"/>
      <c r="C69" s="136"/>
      <c r="D69" s="136"/>
      <c r="E69" s="136"/>
      <c r="F69" s="136"/>
      <c r="G69" s="136"/>
      <c r="H69" s="136"/>
      <c r="I69" s="136"/>
      <c r="J69" s="136"/>
      <c r="K69" s="136"/>
      <c r="L69" s="136"/>
      <c r="M69" s="136"/>
      <c r="N69" s="136"/>
      <c r="O69" s="136"/>
      <c r="P69" s="136"/>
      <c r="Q69" s="136"/>
      <c r="R69" s="136"/>
      <c r="S69" s="136"/>
      <c r="T69" s="136"/>
      <c r="U69" s="136"/>
      <c r="V69" s="144"/>
      <c r="W69" s="136"/>
      <c r="X69" s="137">
        <f t="shared" si="0"/>
        <v>0</v>
      </c>
      <c r="Y69" s="167" t="s">
        <v>26</v>
      </c>
      <c r="Z69" s="271"/>
      <c r="AA69" s="272"/>
      <c r="AB69" s="272"/>
      <c r="AC69" s="246"/>
      <c r="AD69" s="135">
        <f>-AE69</f>
        <v>0</v>
      </c>
      <c r="AE69" s="255"/>
      <c r="AF69" s="271"/>
      <c r="AG69" s="137"/>
      <c r="AH69" s="108">
        <f t="shared" si="6"/>
        <v>0</v>
      </c>
      <c r="AI69" s="153"/>
      <c r="AJ69" s="136"/>
      <c r="AK69" s="136"/>
      <c r="AL69" s="136"/>
      <c r="AM69" s="136"/>
      <c r="AN69" s="136">
        <f>AE69</f>
        <v>0</v>
      </c>
      <c r="AO69" s="136"/>
      <c r="AP69" s="136"/>
      <c r="AQ69" s="137"/>
    </row>
    <row r="70" spans="1:43" ht="15" customHeight="1" x14ac:dyDescent="0.2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7">
        <f t="shared" si="0"/>
        <v>0</v>
      </c>
      <c r="Y70" s="167" t="s">
        <v>27</v>
      </c>
      <c r="Z70" s="271"/>
      <c r="AA70" s="272"/>
      <c r="AB70" s="272"/>
      <c r="AC70" s="255"/>
      <c r="AD70" s="135"/>
      <c r="AE70" s="171"/>
      <c r="AF70" s="261"/>
      <c r="AG70" s="173"/>
      <c r="AH70" s="108">
        <f t="shared" si="6"/>
        <v>0</v>
      </c>
      <c r="AI70" s="153"/>
      <c r="AJ70" s="136"/>
      <c r="AK70" s="136"/>
      <c r="AL70" s="136"/>
      <c r="AM70" s="136"/>
      <c r="AN70" s="136">
        <f>-AF70</f>
        <v>0</v>
      </c>
      <c r="AO70" s="136"/>
      <c r="AP70" s="136"/>
      <c r="AQ70" s="137"/>
    </row>
    <row r="71" spans="1:43" ht="15" customHeight="1" x14ac:dyDescent="0.25">
      <c r="A71" s="136"/>
      <c r="B71" s="136"/>
      <c r="C71" s="136"/>
      <c r="D71" s="136"/>
      <c r="E71" s="136"/>
      <c r="F71" s="136"/>
      <c r="G71" s="136"/>
      <c r="H71" s="136"/>
      <c r="I71" s="136"/>
      <c r="J71" s="136"/>
      <c r="K71" s="136"/>
      <c r="L71" s="136"/>
      <c r="M71" s="136"/>
      <c r="N71" s="136"/>
      <c r="O71" s="136"/>
      <c r="P71" s="144"/>
      <c r="Q71" s="136"/>
      <c r="R71" s="136"/>
      <c r="S71" s="136"/>
      <c r="T71" s="136"/>
      <c r="U71" s="136"/>
      <c r="V71" s="136"/>
      <c r="W71" s="136"/>
      <c r="X71" s="137">
        <f t="shared" si="0"/>
        <v>0</v>
      </c>
      <c r="Y71" s="138" t="s">
        <v>67</v>
      </c>
      <c r="Z71" s="271"/>
      <c r="AA71" s="272"/>
      <c r="AB71" s="272"/>
      <c r="AC71" s="255">
        <f>100-25</f>
        <v>75</v>
      </c>
      <c r="AD71" s="135"/>
      <c r="AE71" s="137"/>
      <c r="AF71" s="135">
        <f>-SUM(AF63:AF70)</f>
        <v>0</v>
      </c>
      <c r="AG71" s="137">
        <f>-AF71*AC71/100</f>
        <v>0</v>
      </c>
      <c r="AH71" s="108">
        <f t="shared" si="6"/>
        <v>0</v>
      </c>
      <c r="AI71" s="153">
        <f>AG71*62.71%</f>
        <v>0</v>
      </c>
      <c r="AJ71" s="153">
        <f>AG71*9.72%</f>
        <v>0</v>
      </c>
      <c r="AK71" s="136">
        <f>AG71*12.13%</f>
        <v>0</v>
      </c>
      <c r="AL71" s="136">
        <f>AG71*7.13%</f>
        <v>0</v>
      </c>
      <c r="AM71" s="136">
        <f>AG71*0%</f>
        <v>0</v>
      </c>
      <c r="AN71" s="136">
        <f>AG71*6.34%</f>
        <v>0</v>
      </c>
      <c r="AO71" s="136">
        <f>AG71*1.97%</f>
        <v>0</v>
      </c>
      <c r="AP71" s="136"/>
      <c r="AQ71" s="137"/>
    </row>
    <row r="72" spans="1:43" ht="15" customHeight="1" x14ac:dyDescent="0.25">
      <c r="A72" s="135"/>
      <c r="B72" s="136"/>
      <c r="C72" s="136"/>
      <c r="D72" s="144"/>
      <c r="E72" s="144"/>
      <c r="F72" s="254"/>
      <c r="G72" s="254"/>
      <c r="H72" s="254">
        <v>1315.45</v>
      </c>
      <c r="I72" s="254"/>
      <c r="J72" s="254"/>
      <c r="K72" s="254"/>
      <c r="L72" s="254"/>
      <c r="M72" s="254"/>
      <c r="N72" s="254"/>
      <c r="O72" s="254"/>
      <c r="P72" s="254"/>
      <c r="Q72" s="136"/>
      <c r="R72" s="136"/>
      <c r="S72" s="136"/>
      <c r="T72" s="136"/>
      <c r="U72" s="136"/>
      <c r="V72" s="136"/>
      <c r="W72" s="136"/>
      <c r="X72" s="137">
        <f t="shared" si="0"/>
        <v>1315.45</v>
      </c>
      <c r="Y72" s="138" t="s">
        <v>68</v>
      </c>
      <c r="Z72" s="135"/>
      <c r="AA72" s="136">
        <v>20</v>
      </c>
      <c r="AB72" s="136"/>
      <c r="AC72" s="139"/>
      <c r="AD72" s="135"/>
      <c r="AE72" s="137"/>
      <c r="AF72" s="135"/>
      <c r="AG72" s="137"/>
      <c r="AH72" s="108">
        <f t="shared" si="6"/>
        <v>263.08999999999997</v>
      </c>
      <c r="AI72" s="153"/>
      <c r="AJ72" s="136"/>
      <c r="AK72" s="136"/>
      <c r="AL72" s="136"/>
      <c r="AM72" s="136"/>
      <c r="AN72" s="136"/>
      <c r="AO72" s="136"/>
      <c r="AP72" s="136"/>
      <c r="AQ72" s="137">
        <f>X72*AA72/100</f>
        <v>263.08999999999997</v>
      </c>
    </row>
    <row r="73" spans="1:43" ht="15" customHeight="1" x14ac:dyDescent="0.25">
      <c r="A73" s="135"/>
      <c r="B73" s="136"/>
      <c r="C73" s="136"/>
      <c r="D73" s="144"/>
      <c r="E73" s="144"/>
      <c r="F73" s="254">
        <v>122.79</v>
      </c>
      <c r="G73" s="254"/>
      <c r="H73" s="254"/>
      <c r="I73" s="254"/>
      <c r="J73" s="254"/>
      <c r="K73" s="254"/>
      <c r="L73" s="254"/>
      <c r="M73" s="254"/>
      <c r="N73" s="254"/>
      <c r="O73" s="254"/>
      <c r="P73" s="254"/>
      <c r="Q73" s="136"/>
      <c r="R73" s="136"/>
      <c r="S73" s="136"/>
      <c r="T73" s="136"/>
      <c r="U73" s="136"/>
      <c r="V73" s="136"/>
      <c r="W73" s="136"/>
      <c r="X73" s="137">
        <f t="shared" si="0"/>
        <v>122.79</v>
      </c>
      <c r="Y73" s="138" t="s">
        <v>69</v>
      </c>
      <c r="Z73" s="135"/>
      <c r="AA73" s="136">
        <v>25</v>
      </c>
      <c r="AB73" s="136"/>
      <c r="AC73" s="139"/>
      <c r="AD73" s="135"/>
      <c r="AE73" s="137"/>
      <c r="AF73" s="135"/>
      <c r="AG73" s="137"/>
      <c r="AH73" s="108">
        <f t="shared" si="6"/>
        <v>30.697500000000002</v>
      </c>
      <c r="AI73" s="153"/>
      <c r="AJ73" s="136"/>
      <c r="AK73" s="136"/>
      <c r="AL73" s="136"/>
      <c r="AM73" s="136"/>
      <c r="AN73" s="136"/>
      <c r="AO73" s="136"/>
      <c r="AP73" s="136"/>
      <c r="AQ73" s="137">
        <f>X73*AA73/100</f>
        <v>30.697500000000002</v>
      </c>
    </row>
    <row r="74" spans="1:43" ht="15" customHeight="1" x14ac:dyDescent="0.25">
      <c r="A74" s="135"/>
      <c r="B74" s="136"/>
      <c r="C74" s="136"/>
      <c r="D74" s="144"/>
      <c r="E74" s="144"/>
      <c r="F74" s="254">
        <v>305.82</v>
      </c>
      <c r="G74" s="254"/>
      <c r="H74" s="254"/>
      <c r="I74" s="254"/>
      <c r="J74" s="254"/>
      <c r="K74" s="254"/>
      <c r="L74" s="254"/>
      <c r="M74" s="254"/>
      <c r="N74" s="254"/>
      <c r="O74" s="254"/>
      <c r="P74" s="254"/>
      <c r="Q74" s="136"/>
      <c r="R74" s="136"/>
      <c r="S74" s="136"/>
      <c r="T74" s="136"/>
      <c r="U74" s="136"/>
      <c r="V74" s="136"/>
      <c r="W74" s="136"/>
      <c r="X74" s="137">
        <f>SUM(A74:W74)</f>
        <v>305.82</v>
      </c>
      <c r="Y74" s="138" t="s">
        <v>121</v>
      </c>
      <c r="Z74" s="135"/>
      <c r="AA74" s="136">
        <v>25</v>
      </c>
      <c r="AB74" s="136"/>
      <c r="AC74" s="139"/>
      <c r="AD74" s="135"/>
      <c r="AE74" s="137"/>
      <c r="AF74" s="135"/>
      <c r="AG74" s="137"/>
      <c r="AH74" s="108">
        <f t="shared" si="6"/>
        <v>76.454999999999998</v>
      </c>
      <c r="AI74" s="153"/>
      <c r="AJ74" s="136"/>
      <c r="AK74" s="136"/>
      <c r="AL74" s="136"/>
      <c r="AM74" s="136"/>
      <c r="AN74" s="136"/>
      <c r="AO74" s="136"/>
      <c r="AP74" s="136"/>
      <c r="AQ74" s="137">
        <f>X74*AA74/100</f>
        <v>76.454999999999998</v>
      </c>
    </row>
    <row r="75" spans="1:43" ht="15" customHeight="1" x14ac:dyDescent="0.25">
      <c r="A75" s="135"/>
      <c r="B75" s="136"/>
      <c r="C75" s="136"/>
      <c r="D75" s="144"/>
      <c r="E75" s="144"/>
      <c r="F75" s="254">
        <v>75.599999999999994</v>
      </c>
      <c r="G75" s="254"/>
      <c r="H75" s="254"/>
      <c r="I75" s="254"/>
      <c r="J75" s="254"/>
      <c r="K75" s="254"/>
      <c r="L75" s="254"/>
      <c r="M75" s="254"/>
      <c r="N75" s="254"/>
      <c r="O75" s="254"/>
      <c r="P75" s="254"/>
      <c r="Q75" s="136"/>
      <c r="R75" s="136"/>
      <c r="S75" s="136"/>
      <c r="T75" s="136"/>
      <c r="U75" s="136"/>
      <c r="V75" s="136"/>
      <c r="W75" s="136"/>
      <c r="X75" s="137">
        <f t="shared" si="0"/>
        <v>75.599999999999994</v>
      </c>
      <c r="Y75" s="138" t="s">
        <v>9</v>
      </c>
      <c r="Z75" s="135"/>
      <c r="AA75" s="136">
        <v>33</v>
      </c>
      <c r="AB75" s="136"/>
      <c r="AC75" s="139"/>
      <c r="AD75" s="135"/>
      <c r="AE75" s="137"/>
      <c r="AF75" s="135"/>
      <c r="AG75" s="137"/>
      <c r="AH75" s="108">
        <f t="shared" si="6"/>
        <v>24.947999999999997</v>
      </c>
      <c r="AI75" s="153"/>
      <c r="AJ75" s="136"/>
      <c r="AK75" s="136"/>
      <c r="AL75" s="136"/>
      <c r="AM75" s="136"/>
      <c r="AN75" s="136"/>
      <c r="AO75" s="136"/>
      <c r="AP75" s="136"/>
      <c r="AQ75" s="137">
        <f>X75*AA75/100</f>
        <v>24.947999999999997</v>
      </c>
    </row>
    <row r="76" spans="1:43" ht="15" customHeight="1" x14ac:dyDescent="0.25">
      <c r="A76" s="135"/>
      <c r="B76" s="136"/>
      <c r="C76" s="136"/>
      <c r="D76" s="144"/>
      <c r="E76" s="144"/>
      <c r="F76" s="254">
        <v>417.53</v>
      </c>
      <c r="G76" s="254"/>
      <c r="H76" s="254"/>
      <c r="I76" s="254"/>
      <c r="J76" s="254"/>
      <c r="K76" s="254"/>
      <c r="L76" s="254"/>
      <c r="M76" s="254"/>
      <c r="N76" s="254"/>
      <c r="O76" s="254"/>
      <c r="P76" s="254"/>
      <c r="Q76" s="136"/>
      <c r="R76" s="136"/>
      <c r="S76" s="136"/>
      <c r="T76" s="136"/>
      <c r="U76" s="136"/>
      <c r="V76" s="136"/>
      <c r="W76" s="136"/>
      <c r="X76" s="137">
        <f t="shared" si="0"/>
        <v>417.53</v>
      </c>
      <c r="Y76" s="138" t="s">
        <v>70</v>
      </c>
      <c r="Z76" s="135"/>
      <c r="AA76" s="136">
        <v>33</v>
      </c>
      <c r="AB76" s="136"/>
      <c r="AC76" s="137"/>
      <c r="AD76" s="135"/>
      <c r="AE76" s="137"/>
      <c r="AF76" s="135"/>
      <c r="AG76" s="137"/>
      <c r="AH76" s="108">
        <f t="shared" si="6"/>
        <v>137.78489999999999</v>
      </c>
      <c r="AI76" s="153"/>
      <c r="AJ76" s="136"/>
      <c r="AK76" s="136"/>
      <c r="AL76" s="136"/>
      <c r="AM76" s="136"/>
      <c r="AN76" s="136"/>
      <c r="AO76" s="136"/>
      <c r="AP76" s="136"/>
      <c r="AQ76" s="137">
        <f>X76*AA76/100</f>
        <v>137.78489999999999</v>
      </c>
    </row>
    <row r="77" spans="1:43" ht="15" customHeight="1" x14ac:dyDescent="0.25">
      <c r="A77" s="135"/>
      <c r="B77" s="136"/>
      <c r="C77" s="136"/>
      <c r="D77" s="144"/>
      <c r="E77" s="144"/>
      <c r="F77" s="142">
        <v>259.58999999999997</v>
      </c>
      <c r="G77" s="254"/>
      <c r="H77" s="254"/>
      <c r="I77" s="254"/>
      <c r="J77" s="254"/>
      <c r="K77" s="254"/>
      <c r="L77" s="254"/>
      <c r="M77" s="254"/>
      <c r="N77" s="254"/>
      <c r="O77" s="254"/>
      <c r="P77" s="254"/>
      <c r="Q77" s="136"/>
      <c r="R77" s="136"/>
      <c r="S77" s="136"/>
      <c r="T77" s="136"/>
      <c r="U77" s="136"/>
      <c r="V77" s="136"/>
      <c r="W77" s="136"/>
      <c r="X77" s="137">
        <f t="shared" si="0"/>
        <v>259.58999999999997</v>
      </c>
      <c r="Y77" s="138" t="s">
        <v>10</v>
      </c>
      <c r="Z77" s="135"/>
      <c r="AA77" s="136">
        <v>33</v>
      </c>
      <c r="AB77" s="136"/>
      <c r="AC77" s="137"/>
      <c r="AD77" s="135"/>
      <c r="AE77" s="137"/>
      <c r="AF77" s="135"/>
      <c r="AG77" s="137"/>
      <c r="AH77" s="108">
        <f t="shared" si="6"/>
        <v>85.664699999999996</v>
      </c>
      <c r="AI77" s="153"/>
      <c r="AJ77" s="136"/>
      <c r="AK77" s="136"/>
      <c r="AL77" s="136"/>
      <c r="AM77" s="136"/>
      <c r="AN77" s="136"/>
      <c r="AO77" s="136"/>
      <c r="AP77" s="136">
        <f>X77*AA77%</f>
        <v>85.664699999999996</v>
      </c>
      <c r="AQ77" s="137"/>
    </row>
    <row r="78" spans="1:43" ht="15" customHeight="1" x14ac:dyDescent="0.25">
      <c r="A78" s="174"/>
      <c r="B78" s="175"/>
      <c r="C78" s="175"/>
      <c r="D78" s="176"/>
      <c r="E78" s="176"/>
      <c r="F78" s="251">
        <v>70.680000000000007</v>
      </c>
      <c r="G78" s="176"/>
      <c r="H78" s="176"/>
      <c r="I78" s="176"/>
      <c r="J78" s="176"/>
      <c r="K78" s="175"/>
      <c r="L78" s="175"/>
      <c r="M78" s="175"/>
      <c r="N78" s="175"/>
      <c r="O78" s="175"/>
      <c r="P78" s="175"/>
      <c r="Q78" s="175"/>
      <c r="R78" s="175"/>
      <c r="S78" s="175"/>
      <c r="T78" s="175"/>
      <c r="U78" s="175"/>
      <c r="V78" s="175"/>
      <c r="W78" s="175"/>
      <c r="X78" s="137">
        <f t="shared" si="0"/>
        <v>70.680000000000007</v>
      </c>
      <c r="Y78" s="177" t="s">
        <v>32</v>
      </c>
      <c r="Z78" s="174"/>
      <c r="AA78" s="136">
        <v>33</v>
      </c>
      <c r="AB78" s="175"/>
      <c r="AC78" s="178"/>
      <c r="AD78" s="135">
        <f>-AE78/$D$2%</f>
        <v>0</v>
      </c>
      <c r="AE78" s="179"/>
      <c r="AF78" s="174"/>
      <c r="AG78" s="178"/>
      <c r="AH78" s="108">
        <f t="shared" si="6"/>
        <v>23.324400000000001</v>
      </c>
      <c r="AI78" s="180"/>
      <c r="AJ78" s="175"/>
      <c r="AK78" s="175"/>
      <c r="AL78" s="175"/>
      <c r="AM78" s="175"/>
      <c r="AN78" s="175"/>
      <c r="AO78" s="175"/>
      <c r="AP78" s="175"/>
      <c r="AQ78" s="137">
        <f>X78*AA78/100+AE78*AA78%</f>
        <v>23.324400000000001</v>
      </c>
    </row>
    <row r="79" spans="1:43" ht="15" customHeight="1" x14ac:dyDescent="0.25">
      <c r="A79" s="174"/>
      <c r="B79" s="175"/>
      <c r="C79" s="175"/>
      <c r="D79" s="176"/>
      <c r="E79" s="176"/>
      <c r="F79" s="176"/>
      <c r="G79" s="264">
        <v>508.14</v>
      </c>
      <c r="H79" s="144">
        <v>2.73</v>
      </c>
      <c r="I79" s="176"/>
      <c r="J79" s="176"/>
      <c r="K79" s="175"/>
      <c r="L79" s="175"/>
      <c r="M79" s="175"/>
      <c r="N79" s="175"/>
      <c r="O79" s="175"/>
      <c r="P79" s="175"/>
      <c r="Q79" s="175"/>
      <c r="R79" s="175"/>
      <c r="S79" s="175"/>
      <c r="T79" s="175"/>
      <c r="U79" s="175"/>
      <c r="V79" s="175"/>
      <c r="W79" s="175"/>
      <c r="X79" s="137">
        <f t="shared" si="0"/>
        <v>510.87</v>
      </c>
      <c r="Y79" s="177" t="s">
        <v>33</v>
      </c>
      <c r="Z79" s="174"/>
      <c r="AA79" s="136">
        <v>33</v>
      </c>
      <c r="AB79" s="175"/>
      <c r="AC79" s="178"/>
      <c r="AD79" s="174"/>
      <c r="AE79" s="178"/>
      <c r="AF79" s="174"/>
      <c r="AG79" s="178"/>
      <c r="AH79" s="108">
        <f t="shared" si="6"/>
        <v>168.58709999999999</v>
      </c>
      <c r="AI79" s="180"/>
      <c r="AJ79" s="175"/>
      <c r="AK79" s="175"/>
      <c r="AL79" s="175"/>
      <c r="AM79" s="175"/>
      <c r="AN79" s="175"/>
      <c r="AO79" s="175"/>
      <c r="AP79" s="175"/>
      <c r="AQ79" s="137">
        <f>X79*AA79/100</f>
        <v>168.58709999999999</v>
      </c>
    </row>
    <row r="80" spans="1:43" ht="15" customHeight="1" thickBot="1" x14ac:dyDescent="0.3">
      <c r="A80" s="174"/>
      <c r="B80" s="175"/>
      <c r="C80" s="175"/>
      <c r="D80" s="251">
        <v>62.75</v>
      </c>
      <c r="E80" s="176"/>
      <c r="F80" s="251">
        <v>49.04</v>
      </c>
      <c r="G80" s="176"/>
      <c r="H80" s="176"/>
      <c r="I80" s="176"/>
      <c r="J80" s="176"/>
      <c r="K80" s="175"/>
      <c r="L80" s="175"/>
      <c r="M80" s="175"/>
      <c r="N80" s="175"/>
      <c r="O80" s="175"/>
      <c r="P80" s="175"/>
      <c r="Q80" s="175"/>
      <c r="R80" s="175"/>
      <c r="S80" s="175"/>
      <c r="T80" s="175"/>
      <c r="U80" s="175"/>
      <c r="V80" s="175"/>
      <c r="W80" s="175"/>
      <c r="X80" s="178">
        <f t="shared" si="0"/>
        <v>111.78999999999999</v>
      </c>
      <c r="Y80" s="181" t="s">
        <v>11</v>
      </c>
      <c r="Z80" s="182"/>
      <c r="AA80" s="136">
        <v>33</v>
      </c>
      <c r="AB80" s="183"/>
      <c r="AC80" s="184"/>
      <c r="AD80" s="182"/>
      <c r="AE80" s="184"/>
      <c r="AF80" s="182"/>
      <c r="AG80" s="184"/>
      <c r="AH80" s="109">
        <f t="shared" si="6"/>
        <v>36.890699999999995</v>
      </c>
      <c r="AI80" s="185"/>
      <c r="AJ80" s="183"/>
      <c r="AK80" s="183"/>
      <c r="AL80" s="183"/>
      <c r="AM80" s="183"/>
      <c r="AN80" s="183"/>
      <c r="AO80" s="183"/>
      <c r="AP80" s="183"/>
      <c r="AQ80" s="137">
        <f>X80*AA80/100</f>
        <v>36.890699999999995</v>
      </c>
    </row>
    <row r="81" spans="1:44" ht="15" customHeight="1" thickBot="1" x14ac:dyDescent="0.3">
      <c r="A81" s="186">
        <f t="shared" ref="A81:W81" si="9">SUM(A8:A80)</f>
        <v>927.241061863901</v>
      </c>
      <c r="B81" s="187">
        <f t="shared" si="9"/>
        <v>164.77</v>
      </c>
      <c r="C81" s="187">
        <f t="shared" si="9"/>
        <v>2104.29</v>
      </c>
      <c r="D81" s="187">
        <f t="shared" si="9"/>
        <v>301.76</v>
      </c>
      <c r="E81" s="187">
        <f t="shared" si="9"/>
        <v>1826.32</v>
      </c>
      <c r="F81" s="187">
        <f t="shared" si="9"/>
        <v>1301.05</v>
      </c>
      <c r="G81" s="187">
        <f t="shared" si="9"/>
        <v>508.14</v>
      </c>
      <c r="H81" s="187">
        <f t="shared" si="9"/>
        <v>1318.18</v>
      </c>
      <c r="I81" s="187">
        <f t="shared" si="9"/>
        <v>216.42</v>
      </c>
      <c r="J81" s="187">
        <f t="shared" si="9"/>
        <v>14.45</v>
      </c>
      <c r="K81" s="187">
        <f t="shared" si="9"/>
        <v>0</v>
      </c>
      <c r="L81" s="187">
        <f t="shared" si="9"/>
        <v>1.4</v>
      </c>
      <c r="M81" s="187">
        <f t="shared" si="9"/>
        <v>0</v>
      </c>
      <c r="N81" s="187">
        <f t="shared" si="9"/>
        <v>0</v>
      </c>
      <c r="O81" s="187">
        <f t="shared" si="9"/>
        <v>3.5420000000000003</v>
      </c>
      <c r="P81" s="187">
        <f t="shared" si="9"/>
        <v>0</v>
      </c>
      <c r="Q81" s="187">
        <f t="shared" si="9"/>
        <v>261.89999999999998</v>
      </c>
      <c r="R81" s="187">
        <f t="shared" si="9"/>
        <v>139.28</v>
      </c>
      <c r="S81" s="187">
        <f t="shared" si="9"/>
        <v>15.27</v>
      </c>
      <c r="T81" s="187">
        <f t="shared" si="9"/>
        <v>4.1580000000000004</v>
      </c>
      <c r="U81" s="187">
        <f t="shared" si="9"/>
        <v>0</v>
      </c>
      <c r="V81" s="187">
        <f t="shared" si="9"/>
        <v>26.279799999999998</v>
      </c>
      <c r="W81" s="187">
        <f t="shared" si="9"/>
        <v>116.2</v>
      </c>
      <c r="X81" s="188">
        <f>SUM(X8:X80)</f>
        <v>9250.6508618639036</v>
      </c>
      <c r="Y81" s="20" t="s">
        <v>2</v>
      </c>
      <c r="Z81" s="189"/>
      <c r="AA81" s="189"/>
      <c r="AB81" s="189"/>
      <c r="AC81" s="189"/>
      <c r="AD81" s="186">
        <f t="shared" ref="AD81:AQ81" si="10">SUM(AD8:AD80)</f>
        <v>3.5527136788005009E-14</v>
      </c>
      <c r="AE81" s="188">
        <f t="shared" si="10"/>
        <v>1276.5927035056447</v>
      </c>
      <c r="AF81" s="186">
        <f t="shared" si="10"/>
        <v>0</v>
      </c>
      <c r="AG81" s="188">
        <f t="shared" si="10"/>
        <v>1370.0742599999999</v>
      </c>
      <c r="AH81" s="20">
        <f t="shared" si="10"/>
        <v>5549.3396735400011</v>
      </c>
      <c r="AI81" s="190">
        <f t="shared" si="10"/>
        <v>2912.816359246</v>
      </c>
      <c r="AJ81" s="187">
        <f t="shared" si="10"/>
        <v>251.80072249200001</v>
      </c>
      <c r="AK81" s="187">
        <f t="shared" si="10"/>
        <v>235.57613373799998</v>
      </c>
      <c r="AL81" s="187">
        <f t="shared" si="10"/>
        <v>221.73404245799998</v>
      </c>
      <c r="AM81" s="187">
        <f t="shared" si="10"/>
        <v>16.058286799999998</v>
      </c>
      <c r="AN81" s="187">
        <f t="shared" si="10"/>
        <v>951.946143484</v>
      </c>
      <c r="AO81" s="187">
        <f t="shared" si="10"/>
        <v>28.210462921999998</v>
      </c>
      <c r="AP81" s="187">
        <f t="shared" si="10"/>
        <v>162.585149</v>
      </c>
      <c r="AQ81" s="188">
        <f t="shared" si="10"/>
        <v>768.61237339999991</v>
      </c>
    </row>
    <row r="82" spans="1:44" ht="15" customHeight="1" x14ac:dyDescent="0.35">
      <c r="A82" s="150">
        <f t="shared" ref="A82:V82" si="11">A81*A89/1000</f>
        <v>220.68337272360841</v>
      </c>
      <c r="B82" s="147">
        <f t="shared" si="11"/>
        <v>11.121975000000001</v>
      </c>
      <c r="C82" s="147">
        <f t="shared" si="11"/>
        <v>197.80326000000002</v>
      </c>
      <c r="D82" s="147">
        <f t="shared" si="11"/>
        <v>23.718336000000001</v>
      </c>
      <c r="E82" s="147">
        <f t="shared" si="11"/>
        <v>135.14767999999998</v>
      </c>
      <c r="F82" s="147">
        <f t="shared" si="11"/>
        <v>96.277699999999996</v>
      </c>
      <c r="G82" s="147">
        <f t="shared" si="11"/>
        <v>36.586080000000003</v>
      </c>
      <c r="H82" s="147">
        <f t="shared" si="11"/>
        <v>96.227140000000006</v>
      </c>
      <c r="I82" s="147">
        <f t="shared" si="11"/>
        <v>12.314297999999999</v>
      </c>
      <c r="J82" s="147">
        <f t="shared" si="11"/>
        <v>0</v>
      </c>
      <c r="K82" s="147">
        <f t="shared" si="11"/>
        <v>0</v>
      </c>
      <c r="L82" s="147">
        <f t="shared" si="11"/>
        <v>0</v>
      </c>
      <c r="M82" s="147">
        <f t="shared" si="11"/>
        <v>0</v>
      </c>
      <c r="N82" s="147">
        <v>0</v>
      </c>
      <c r="O82" s="147">
        <f t="shared" si="11"/>
        <v>0</v>
      </c>
      <c r="P82" s="147">
        <f t="shared" si="11"/>
        <v>0</v>
      </c>
      <c r="Q82" s="147">
        <f t="shared" si="11"/>
        <v>0</v>
      </c>
      <c r="R82" s="147">
        <f t="shared" si="11"/>
        <v>0</v>
      </c>
      <c r="S82" s="147">
        <f t="shared" si="11"/>
        <v>0</v>
      </c>
      <c r="T82" s="147">
        <f t="shared" si="11"/>
        <v>0</v>
      </c>
      <c r="U82" s="147">
        <f t="shared" si="11"/>
        <v>0</v>
      </c>
      <c r="V82" s="147">
        <f t="shared" si="11"/>
        <v>0</v>
      </c>
      <c r="W82" s="147">
        <f>W81*W89/1000</f>
        <v>9.5539640000000006</v>
      </c>
      <c r="X82" s="151">
        <f>SUM(A82:W82)</f>
        <v>839.43380572360832</v>
      </c>
      <c r="Y82" s="21" t="s">
        <v>256</v>
      </c>
      <c r="Z82" s="191">
        <f>X82*1000/D1</f>
        <v>9.2735647292127439</v>
      </c>
      <c r="AA82" s="192" t="s">
        <v>12</v>
      </c>
      <c r="AB82" s="192"/>
      <c r="AC82" s="193"/>
      <c r="AD82" s="19"/>
      <c r="AE82" s="19"/>
      <c r="AF82" s="19"/>
      <c r="AG82" s="19"/>
      <c r="AH82" s="19"/>
      <c r="AI82" s="19"/>
      <c r="AJ82" s="19"/>
      <c r="AK82" s="19"/>
      <c r="AL82" s="19"/>
      <c r="AM82" s="19"/>
      <c r="AN82" s="19"/>
      <c r="AO82" s="19"/>
      <c r="AP82" s="19"/>
      <c r="AQ82" s="19"/>
    </row>
    <row r="83" spans="1:44" ht="15" customHeight="1" x14ac:dyDescent="0.25">
      <c r="A83" s="135"/>
      <c r="B83" s="136"/>
      <c r="C83" s="136"/>
      <c r="D83" s="136"/>
      <c r="E83" s="136"/>
      <c r="F83" s="136"/>
      <c r="G83" s="136"/>
      <c r="H83" s="136"/>
      <c r="I83" s="136"/>
      <c r="J83" s="136"/>
      <c r="K83" s="136"/>
      <c r="L83" s="136"/>
      <c r="M83" s="136"/>
      <c r="N83" s="136"/>
      <c r="O83" s="254">
        <v>299.89999999999998</v>
      </c>
      <c r="P83" s="254">
        <v>952</v>
      </c>
      <c r="Q83" s="254">
        <v>974.5</v>
      </c>
      <c r="R83" s="254">
        <v>438</v>
      </c>
      <c r="S83" s="144"/>
      <c r="T83" s="136"/>
      <c r="U83" s="136"/>
      <c r="V83" s="136"/>
      <c r="W83" s="136"/>
      <c r="X83" s="137">
        <f>SUM(A83:W83)</f>
        <v>2664.4</v>
      </c>
      <c r="Y83" s="108" t="s">
        <v>35</v>
      </c>
      <c r="Z83" s="93">
        <f>(SUM(J14:V14)+AD15*A87%+SUM(J19:V19)+SUM(J20:V20)+SUM(J21:V21)+SUM(J22:V22)+SUM(J25:V25)+SUM(J72:V72)+SUM(J73:V73)+SUM(J74:V74)+SUM(J75:V75)+SUM(J76:V76)+SUM(J77:V77)+SUM(J78:V78)+SUM(J79:V79)+SUM(J80:V80)+SUM(J26:V26)*(Z26%+AB26%)+SUM(J27:V27)*(Z27%+AB27%)+SUM(J28:V28)*(Z28%+AB28%)+SUM(J29:V29)*(Z29%+AB29%)+SUM(J30:V30)*(Z30%+AB30%)+SUM(J32:V32)*(Z32%+AA32%+AB32%)+SUM(J31:V31)*(AA31%)+SUM(J33:V33)*(Z33%+AB33%)+SUM(J34:V34)*(Z34%+AB34%)+SUM(J35:V35)*(Z35%+AB35%)+SUM(J36:V36)*(Z36%+AB36%)+SUM(J37:V37)+SUM(J40:V40)*(Z40%+AB40%)+SUM(J41:V41)*(Z41%+AB41%)+SUM(J42:V42)*(Z42%+AB42%)+SUM(J44:V44)*(Z44%+AB44%)+SUM(J45:V45)*(Z45%+AB45%)+SUM(J46:V46)*(Z46%+AB46%)+SUM(J47:V47)*(Z47%+AB47%)+SUM(J48:V48)+SUM(J50:V50)*(Z50%+AB50%)+SUM(J51:V51)*(Z51%+AB51%)+SUM(J53:V53)*(Z53%+AA53%+AB53%)+SUM(J54:V54)*(Z54%+AA54%+AB54%)+SUM(J56:V56)*(Z56%+AB56%)+SUM(J57:V57)+SUM(J59:V59)*(Z59%+AB59%)+SUM(J60:V60)*(Z60%+AB60%)+SUM(J61:V61)*(Z61%+AB61%)+SUM(J63:V63)*(Z63%+AB63%)+SUM(J64:V64)*(Z64%+AB64%)+SUM(J65:V65)*(Z65%+AB65%)+SUM(J66:V66)*(Z66%+AB66%)+SUM(J67:V67)*(Z67%+AB67%)+SUM(J68:V68)*(Z68%+AB68%))/(SUM(X8:X14)+SUM(X16:X25)+X32*AA32%+X53*AA53%+X54*AA54%+SUM(X72:X80)+(AG39/AC39%+AG43/AC43%+AG52/AC52%+AG55/AC55%+AG62/AC62%+AG71/AC71%)+AE81+SUM(AE8:AE14)*(1-D2%)+(-AF70))*100</f>
        <v>4.7487823979463686</v>
      </c>
      <c r="AA83" s="2" t="s">
        <v>210</v>
      </c>
      <c r="AB83" s="265"/>
      <c r="AC83" s="266"/>
      <c r="AD83" s="19"/>
      <c r="AE83" s="19"/>
      <c r="AF83" s="19"/>
      <c r="AG83" s="19"/>
      <c r="AH83" s="19"/>
      <c r="AI83" s="19"/>
      <c r="AJ83" s="19"/>
      <c r="AK83" s="19"/>
      <c r="AL83" s="19"/>
      <c r="AM83" s="19"/>
      <c r="AN83" s="19"/>
      <c r="AO83" s="19"/>
      <c r="AP83" s="19"/>
      <c r="AQ83" s="19"/>
    </row>
    <row r="84" spans="1:44" ht="15" customHeight="1" thickBot="1" x14ac:dyDescent="0.3">
      <c r="A84" s="182"/>
      <c r="B84" s="183"/>
      <c r="C84" s="183"/>
      <c r="D84" s="183"/>
      <c r="E84" s="183"/>
      <c r="F84" s="183"/>
      <c r="G84" s="183"/>
      <c r="H84" s="183"/>
      <c r="I84" s="183"/>
      <c r="J84" s="183" t="str">
        <f>IF(J83&gt;0,J81/J83*100,"")</f>
        <v/>
      </c>
      <c r="K84" s="183" t="str">
        <f t="shared" ref="K84:W84" si="12">IF(K83&gt;0,K81/K83*100,"")</f>
        <v/>
      </c>
      <c r="L84" s="183" t="str">
        <f t="shared" si="12"/>
        <v/>
      </c>
      <c r="M84" s="183" t="str">
        <f t="shared" si="12"/>
        <v/>
      </c>
      <c r="N84" s="183" t="str">
        <f t="shared" si="12"/>
        <v/>
      </c>
      <c r="O84" s="183">
        <f t="shared" si="12"/>
        <v>1.1810603534511506</v>
      </c>
      <c r="P84" s="183">
        <f t="shared" si="12"/>
        <v>0</v>
      </c>
      <c r="Q84" s="183">
        <f t="shared" si="12"/>
        <v>26.875320677270391</v>
      </c>
      <c r="R84" s="183">
        <f t="shared" si="12"/>
        <v>31.799086757990867</v>
      </c>
      <c r="S84" s="183" t="str">
        <f t="shared" si="12"/>
        <v/>
      </c>
      <c r="T84" s="183" t="str">
        <f t="shared" si="12"/>
        <v/>
      </c>
      <c r="U84" s="183" t="str">
        <f t="shared" si="12"/>
        <v/>
      </c>
      <c r="V84" s="183" t="str">
        <f>IF(V83&gt;0,V81/V83*100,"")</f>
        <v/>
      </c>
      <c r="W84" s="183" t="str">
        <f t="shared" si="12"/>
        <v/>
      </c>
      <c r="X84" s="184">
        <f>SUMIF(J83:W83,"&gt;0",J81:W81)/SUM(J83:W83)%</f>
        <v>15.189986488515236</v>
      </c>
      <c r="Y84" s="109" t="s">
        <v>38</v>
      </c>
      <c r="Z84" s="267">
        <f>SUM(J81:V81)/X81*100</f>
        <v>5.0405080351940752</v>
      </c>
      <c r="AA84" s="94" t="s">
        <v>263</v>
      </c>
      <c r="AB84" s="268"/>
      <c r="AC84" s="269"/>
      <c r="AD84" s="19"/>
      <c r="AE84" s="19"/>
      <c r="AF84" s="19"/>
      <c r="AG84" s="19"/>
      <c r="AH84" s="19"/>
      <c r="AI84" s="19"/>
      <c r="AJ84" s="19"/>
      <c r="AK84" s="19"/>
      <c r="AL84" s="19"/>
      <c r="AM84" s="19"/>
      <c r="AN84" s="19"/>
      <c r="AO84" s="19"/>
      <c r="AP84" s="19"/>
      <c r="AQ84" s="19"/>
    </row>
    <row r="85" spans="1:44" ht="15" customHeight="1" thickBo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4" ht="17.25" customHeight="1" x14ac:dyDescent="0.25">
      <c r="A86" s="252" t="s">
        <v>122</v>
      </c>
      <c r="B86" s="422" t="str">
        <f t="shared" ref="B86:W86" si="13">B7</f>
        <v xml:space="preserve">  LPG og petroleum</v>
      </c>
      <c r="C86" s="422" t="str">
        <f t="shared" si="13"/>
        <v xml:space="preserve">  Kul</v>
      </c>
      <c r="D86" s="422" t="str">
        <f t="shared" si="13"/>
        <v xml:space="preserve">  Fuelolie</v>
      </c>
      <c r="E86" s="422" t="str">
        <f t="shared" si="13"/>
        <v xml:space="preserve">  Brændselsolie</v>
      </c>
      <c r="F86" s="422" t="str">
        <f t="shared" si="13"/>
        <v xml:space="preserve">  Dieselolie</v>
      </c>
      <c r="G86" s="422" t="str">
        <f t="shared" si="13"/>
        <v xml:space="preserve">  JP1</v>
      </c>
      <c r="H86" s="422" t="str">
        <f t="shared" si="13"/>
        <v xml:space="preserve">  Benzin</v>
      </c>
      <c r="I86" s="422" t="str">
        <f t="shared" si="13"/>
        <v xml:space="preserve">  Naturgas</v>
      </c>
      <c r="J86" s="422" t="str">
        <f t="shared" si="13"/>
        <v xml:space="preserve">  Vindenergi</v>
      </c>
      <c r="K86" s="422" t="str">
        <f t="shared" si="13"/>
        <v xml:space="preserve">  Vandenergi</v>
      </c>
      <c r="L86" s="422" t="str">
        <f t="shared" si="13"/>
        <v xml:space="preserve">  Solenergi</v>
      </c>
      <c r="M86" s="422" t="str">
        <f t="shared" si="13"/>
        <v xml:space="preserve">  Geotermi</v>
      </c>
      <c r="N86" s="422" t="str">
        <f t="shared" si="13"/>
        <v xml:space="preserve">  Varmekilder til varmepumper</v>
      </c>
      <c r="O86" s="422" t="str">
        <f t="shared" si="13"/>
        <v xml:space="preserve">  Husdyrsgødning</v>
      </c>
      <c r="P86" s="422" t="str">
        <f t="shared" si="13"/>
        <v xml:space="preserve">  Biobrændstof og energiafgrøder</v>
      </c>
      <c r="Q86" s="422" t="str">
        <f t="shared" si="13"/>
        <v xml:space="preserve">  Halm</v>
      </c>
      <c r="R86" s="422" t="str">
        <f t="shared" si="13"/>
        <v xml:space="preserve">  Brænde og træflis</v>
      </c>
      <c r="S86" s="422" t="str">
        <f t="shared" si="13"/>
        <v xml:space="preserve">  Træpiller og træaffald</v>
      </c>
      <c r="T86" s="422" t="str">
        <f t="shared" si="13"/>
        <v xml:space="preserve">  Organisk affald, industri</v>
      </c>
      <c r="U86" s="422" t="str">
        <f t="shared" si="13"/>
        <v xml:space="preserve">  Organisk affald, husholdninger</v>
      </c>
      <c r="V86" s="422" t="str">
        <f t="shared" si="13"/>
        <v xml:space="preserve">  Deponi, slam, renseanlæg</v>
      </c>
      <c r="W86" s="425" t="str">
        <f t="shared" si="13"/>
        <v xml:space="preserve">  Affald, ikke bionedbrydeligt</v>
      </c>
      <c r="X86" s="4"/>
      <c r="Y86" s="4"/>
      <c r="Z86" s="4"/>
      <c r="AA86" s="4"/>
      <c r="AB86" s="4"/>
      <c r="AC86" s="4"/>
      <c r="AD86" s="4"/>
      <c r="AE86" s="4"/>
      <c r="AF86" s="4"/>
      <c r="AG86" s="4"/>
      <c r="AH86" s="4"/>
      <c r="AI86" s="4"/>
      <c r="AJ86" s="4"/>
      <c r="AK86" s="4"/>
      <c r="AL86" s="4"/>
      <c r="AM86" s="4"/>
      <c r="AN86" s="4"/>
      <c r="AO86" s="4"/>
      <c r="AP86" s="4"/>
      <c r="AQ86" s="4"/>
    </row>
    <row r="87" spans="1:44" ht="19.2" x14ac:dyDescent="0.25">
      <c r="A87" s="253">
        <v>0</v>
      </c>
      <c r="B87" s="423"/>
      <c r="C87" s="423"/>
      <c r="D87" s="423"/>
      <c r="E87" s="423"/>
      <c r="F87" s="423"/>
      <c r="G87" s="423"/>
      <c r="H87" s="423"/>
      <c r="I87" s="423"/>
      <c r="J87" s="423"/>
      <c r="K87" s="423"/>
      <c r="L87" s="423"/>
      <c r="M87" s="423"/>
      <c r="N87" s="423"/>
      <c r="O87" s="423"/>
      <c r="P87" s="423"/>
      <c r="Q87" s="423"/>
      <c r="R87" s="423"/>
      <c r="S87" s="423"/>
      <c r="T87" s="423"/>
      <c r="U87" s="423"/>
      <c r="V87" s="423"/>
      <c r="W87" s="426"/>
      <c r="X87" s="4"/>
      <c r="Y87" s="4"/>
      <c r="Z87" s="4"/>
      <c r="AA87" s="4"/>
      <c r="AB87" s="4"/>
      <c r="AC87" s="4"/>
      <c r="AD87" s="4"/>
      <c r="AE87" s="4"/>
      <c r="AF87" s="4"/>
      <c r="AG87" s="4"/>
      <c r="AH87" s="4"/>
      <c r="AI87" s="4"/>
      <c r="AJ87" s="4"/>
      <c r="AK87" s="4"/>
      <c r="AL87" s="4"/>
      <c r="AM87" s="4"/>
      <c r="AN87" s="4"/>
      <c r="AO87" s="4"/>
      <c r="AP87" s="4"/>
      <c r="AQ87" s="4"/>
    </row>
    <row r="88" spans="1:44" ht="123" customHeight="1" thickBot="1" x14ac:dyDescent="0.3">
      <c r="A88" s="195" t="s">
        <v>123</v>
      </c>
      <c r="B88" s="424"/>
      <c r="C88" s="424"/>
      <c r="D88" s="424"/>
      <c r="E88" s="424"/>
      <c r="F88" s="424"/>
      <c r="G88" s="424"/>
      <c r="H88" s="424"/>
      <c r="I88" s="424"/>
      <c r="J88" s="424"/>
      <c r="K88" s="424"/>
      <c r="L88" s="424"/>
      <c r="M88" s="424"/>
      <c r="N88" s="424"/>
      <c r="O88" s="424"/>
      <c r="P88" s="424"/>
      <c r="Q88" s="424"/>
      <c r="R88" s="424"/>
      <c r="S88" s="424"/>
      <c r="T88" s="424"/>
      <c r="U88" s="424"/>
      <c r="V88" s="424"/>
      <c r="W88" s="427"/>
      <c r="X88" s="4"/>
      <c r="Y88" s="4"/>
      <c r="Z88" s="4"/>
      <c r="AA88" s="4"/>
      <c r="AB88" s="4"/>
      <c r="AC88" s="4"/>
      <c r="AD88" s="4"/>
      <c r="AE88" s="4"/>
      <c r="AF88" s="4"/>
      <c r="AG88" s="4"/>
      <c r="AH88" s="4"/>
      <c r="AI88" s="4"/>
      <c r="AJ88" s="4"/>
      <c r="AK88" s="4"/>
      <c r="AL88" s="4"/>
      <c r="AM88" s="4"/>
      <c r="AN88" s="4"/>
      <c r="AO88" s="4"/>
      <c r="AP88" s="4"/>
      <c r="AQ88" s="4"/>
    </row>
    <row r="89" spans="1:44" s="25" customFormat="1" ht="15" customHeight="1" thickBot="1" x14ac:dyDescent="0.3">
      <c r="A89" s="279">
        <v>238</v>
      </c>
      <c r="B89" s="196">
        <v>67.5</v>
      </c>
      <c r="C89" s="196">
        <v>94</v>
      </c>
      <c r="D89" s="196">
        <v>78.599999999999994</v>
      </c>
      <c r="E89" s="196">
        <v>74</v>
      </c>
      <c r="F89" s="196">
        <v>74</v>
      </c>
      <c r="G89" s="196">
        <v>72</v>
      </c>
      <c r="H89" s="196">
        <v>73</v>
      </c>
      <c r="I89" s="196">
        <v>56.9</v>
      </c>
      <c r="J89" s="197"/>
      <c r="K89" s="197"/>
      <c r="L89" s="197"/>
      <c r="M89" s="197"/>
      <c r="N89" s="198"/>
      <c r="O89" s="197"/>
      <c r="P89" s="197"/>
      <c r="Q89" s="197"/>
      <c r="R89" s="197"/>
      <c r="S89" s="197"/>
      <c r="T89" s="197"/>
      <c r="U89" s="197"/>
      <c r="V89" s="198"/>
      <c r="W89" s="199">
        <v>82.22</v>
      </c>
      <c r="X89" s="200" t="s">
        <v>257</v>
      </c>
      <c r="Y89" s="23"/>
      <c r="Z89" s="24"/>
      <c r="AA89" s="24"/>
      <c r="AB89" s="24"/>
      <c r="AC89" s="24"/>
      <c r="AD89" s="24"/>
      <c r="AE89" s="24"/>
      <c r="AF89" s="24"/>
      <c r="AG89" s="24"/>
      <c r="AH89" s="24"/>
      <c r="AI89" s="24"/>
      <c r="AJ89" s="24"/>
      <c r="AK89" s="24"/>
      <c r="AL89" s="24"/>
      <c r="AM89" s="24"/>
      <c r="AN89" s="24"/>
      <c r="AO89" s="24"/>
      <c r="AP89" s="24"/>
      <c r="AQ89" s="24"/>
    </row>
    <row r="90" spans="1:44"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row>
    <row r="91" spans="1:44" x14ac:dyDescent="0.25">
      <c r="Y91" s="15"/>
    </row>
    <row r="92" spans="1:44" x14ac:dyDescent="0.25">
      <c r="Y92" s="4"/>
    </row>
    <row r="93" spans="1:44" ht="12.75" customHeight="1" x14ac:dyDescent="0.4">
      <c r="A93" s="22"/>
      <c r="Y93" s="15"/>
    </row>
    <row r="95" spans="1:44" x14ac:dyDescent="0.25">
      <c r="Y95" s="15"/>
    </row>
    <row r="96" spans="1:44" x14ac:dyDescent="0.25">
      <c r="Y96" s="15"/>
    </row>
  </sheetData>
  <mergeCells count="30">
    <mergeCell ref="D1:E1"/>
    <mergeCell ref="Y1:Y2"/>
    <mergeCell ref="X3:Z4"/>
    <mergeCell ref="A6:X6"/>
    <mergeCell ref="Z6:AC6"/>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516"/>
  <sheetViews>
    <sheetView showGridLines="0" topLeftCell="A202" zoomScale="70" zoomScaleNormal="70" workbookViewId="0">
      <selection activeCell="G116" sqref="G116"/>
    </sheetView>
  </sheetViews>
  <sheetFormatPr defaultColWidth="9.109375" defaultRowHeight="13.2" x14ac:dyDescent="0.25"/>
  <cols>
    <col min="1" max="1" width="9.109375" style="18"/>
    <col min="2" max="2" width="42.5546875" style="18" customWidth="1"/>
    <col min="3" max="6" width="14.44140625" style="18" customWidth="1"/>
    <col min="7" max="7" width="17" style="18" customWidth="1"/>
    <col min="8" max="8" width="16.88671875" style="18" customWidth="1"/>
    <col min="9" max="33" width="14.44140625" style="18" customWidth="1"/>
    <col min="34" max="16384" width="9.109375" style="18"/>
  </cols>
  <sheetData>
    <row r="1" spans="1:51" x14ac:dyDescent="0.25">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row>
    <row r="2" spans="1:51" ht="22.8" x14ac:dyDescent="0.4">
      <c r="A2" s="27" t="s">
        <v>125</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row>
    <row r="3" spans="1:51" x14ac:dyDescent="0.25">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51" x14ac:dyDescent="0.25">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row>
    <row r="5" spans="1:51" x14ac:dyDescent="0.25">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row>
    <row r="6" spans="1:51" x14ac:dyDescent="0.25">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x14ac:dyDescent="0.25">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row>
    <row r="8" spans="1:51" x14ac:dyDescent="0.25">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x14ac:dyDescent="0.25">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row>
    <row r="10" spans="1:51" x14ac:dyDescent="0.25">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row>
    <row r="11" spans="1:51" x14ac:dyDescent="0.25">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row>
    <row r="12" spans="1:51" x14ac:dyDescent="0.25">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row>
    <row r="13" spans="1:51" x14ac:dyDescent="0.25">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row>
    <row r="14" spans="1:51" x14ac:dyDescent="0.25">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row>
    <row r="15" spans="1:51" x14ac:dyDescent="0.25">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row>
    <row r="16" spans="1:51" x14ac:dyDescent="0.25">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row>
    <row r="17" spans="2:51" x14ac:dyDescent="0.25">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row>
    <row r="18" spans="2:51" x14ac:dyDescent="0.25">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row>
    <row r="19" spans="2:51" x14ac:dyDescent="0.25">
      <c r="B19" s="28"/>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row>
    <row r="20" spans="2:51" x14ac:dyDescent="0.25">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row>
    <row r="21" spans="2:51" x14ac:dyDescent="0.25">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row>
    <row r="22" spans="2:51" x14ac:dyDescent="0.25">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row>
    <row r="23" spans="2:51" x14ac:dyDescent="0.25">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2:51" x14ac:dyDescent="0.25">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row>
    <row r="25" spans="2:51" x14ac:dyDescent="0.25">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row>
    <row r="26" spans="2:51" x14ac:dyDescent="0.25">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row>
    <row r="27" spans="2:51" x14ac:dyDescent="0.25">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row>
    <row r="28" spans="2:51" x14ac:dyDescent="0.25">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row>
    <row r="29" spans="2:51" x14ac:dyDescent="0.25">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row>
    <row r="30" spans="2:51" x14ac:dyDescent="0.25">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row>
    <row r="31" spans="2:51" x14ac:dyDescent="0.25">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row>
    <row r="32" spans="2:51" x14ac:dyDescent="0.25">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row>
    <row r="33" spans="2:51" x14ac:dyDescent="0.25">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row>
    <row r="34" spans="2:51" x14ac:dyDescent="0.25">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row>
    <row r="35" spans="2:51" x14ac:dyDescent="0.25">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row>
    <row r="36" spans="2:51" x14ac:dyDescent="0.25">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row>
    <row r="37" spans="2:51" x14ac:dyDescent="0.25">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row>
    <row r="38" spans="2:51" x14ac:dyDescent="0.25">
      <c r="B38" s="28"/>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row>
    <row r="39" spans="2:51" x14ac:dyDescent="0.25">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row>
    <row r="40" spans="2:51" x14ac:dyDescent="0.25">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row>
    <row r="41" spans="2:51" x14ac:dyDescent="0.25">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row>
    <row r="42" spans="2:51" x14ac:dyDescent="0.25">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row>
    <row r="43" spans="2:51" x14ac:dyDescent="0.25">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row>
    <row r="44" spans="2:51" x14ac:dyDescent="0.25">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row>
    <row r="45" spans="2:51" x14ac:dyDescent="0.25">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row>
    <row r="46" spans="2:51" x14ac:dyDescent="0.25">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row>
    <row r="47" spans="2:51" x14ac:dyDescent="0.25">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row>
    <row r="48" spans="2:51" x14ac:dyDescent="0.25">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row>
    <row r="49" spans="1:51" x14ac:dyDescent="0.25">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row>
    <row r="50" spans="1:51" x14ac:dyDescent="0.25">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row>
    <row r="51" spans="1:51" ht="33.75" customHeight="1" x14ac:dyDescent="0.25">
      <c r="A51" s="26"/>
      <c r="B51" s="29" t="s">
        <v>126</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row>
    <row r="52" spans="1:51" x14ac:dyDescent="0.25">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row r="53" spans="1:51" x14ac:dyDescent="0.25">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row>
    <row r="54" spans="1:51" x14ac:dyDescent="0.25">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row>
    <row r="55" spans="1:51" x14ac:dyDescent="0.25">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row>
    <row r="56" spans="1:51" x14ac:dyDescent="0.25">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row>
    <row r="57" spans="1:51" x14ac:dyDescent="0.25">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row>
    <row r="58" spans="1:51" x14ac:dyDescent="0.25">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row>
    <row r="59" spans="1:51" x14ac:dyDescent="0.25">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row>
    <row r="60" spans="1:51" x14ac:dyDescent="0.25">
      <c r="B60" s="14"/>
      <c r="C60" s="30">
        <v>2018</v>
      </c>
      <c r="D60" s="30" t="s">
        <v>223</v>
      </c>
      <c r="E60" s="30" t="s">
        <v>224</v>
      </c>
      <c r="F60" s="31"/>
      <c r="G60" s="31"/>
      <c r="H60" s="31"/>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row>
    <row r="61" spans="1:51" ht="15.6" x14ac:dyDescent="0.35">
      <c r="B61" s="32" t="s">
        <v>208</v>
      </c>
      <c r="C61" s="33">
        <f>'2018'!$Z$83</f>
        <v>49.24766476933678</v>
      </c>
      <c r="D61" s="33">
        <f>'BAU2030'!$Z$83</f>
        <v>58.857359008438458</v>
      </c>
      <c r="E61" s="33">
        <f>'BAU2050'!$Z$83</f>
        <v>63.145192945955166</v>
      </c>
      <c r="F61" s="285"/>
      <c r="G61" s="285"/>
      <c r="H61" s="285"/>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row>
    <row r="62" spans="1:51" ht="15.6" x14ac:dyDescent="0.35">
      <c r="B62" s="32" t="s">
        <v>209</v>
      </c>
      <c r="C62" s="33">
        <f>'2018'!$Z$84</f>
        <v>49.936403140062268</v>
      </c>
      <c r="D62" s="33">
        <f>'BAU2030'!$Z$84</f>
        <v>63.063397015492924</v>
      </c>
      <c r="E62" s="33">
        <f>'BAU2050'!$Z$84</f>
        <v>0</v>
      </c>
      <c r="F62" s="285"/>
      <c r="G62" s="285"/>
      <c r="H62" s="285"/>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row>
    <row r="63" spans="1:51" x14ac:dyDescent="0.25">
      <c r="B63" s="34"/>
      <c r="C63" s="35"/>
      <c r="D63" s="35"/>
      <c r="H63" s="35"/>
      <c r="I63" s="35"/>
      <c r="J63" s="35"/>
      <c r="K63" s="35"/>
      <c r="M63" s="34"/>
      <c r="N63" s="35"/>
      <c r="O63" s="35"/>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row>
    <row r="64" spans="1:51" x14ac:dyDescent="0.25">
      <c r="B64" s="34"/>
      <c r="C64" s="35"/>
      <c r="D64" s="35"/>
      <c r="M64" s="34"/>
      <c r="N64" s="35"/>
      <c r="O64" s="35"/>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row>
    <row r="65" spans="2:51" x14ac:dyDescent="0.25">
      <c r="B65" s="34"/>
      <c r="C65" s="35"/>
      <c r="D65" s="35"/>
      <c r="M65" s="34"/>
      <c r="N65" s="35"/>
      <c r="O65" s="35"/>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row>
    <row r="66" spans="2:51" x14ac:dyDescent="0.25">
      <c r="B66" s="34"/>
      <c r="C66" s="35"/>
      <c r="D66" s="35"/>
      <c r="M66" s="34"/>
      <c r="N66" s="35"/>
      <c r="O66" s="35"/>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row>
    <row r="67" spans="2:51" x14ac:dyDescent="0.25">
      <c r="B67" s="34"/>
      <c r="C67" s="35"/>
      <c r="D67" s="35"/>
      <c r="M67" s="34"/>
      <c r="N67" s="35"/>
      <c r="O67" s="35"/>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row>
    <row r="68" spans="2:51" x14ac:dyDescent="0.25">
      <c r="B68" s="34"/>
      <c r="C68" s="35"/>
      <c r="D68" s="35"/>
      <c r="M68" s="34"/>
      <c r="N68" s="35"/>
      <c r="O68" s="35"/>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row>
    <row r="69" spans="2:51" x14ac:dyDescent="0.25">
      <c r="B69" s="34"/>
      <c r="C69" s="35"/>
      <c r="D69" s="35"/>
      <c r="M69" s="34"/>
      <c r="N69" s="35"/>
      <c r="O69" s="35"/>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row>
    <row r="70" spans="2:51" x14ac:dyDescent="0.25">
      <c r="B70" s="34"/>
      <c r="C70" s="35"/>
      <c r="D70" s="35"/>
      <c r="M70" s="34"/>
      <c r="N70" s="35"/>
      <c r="O70" s="35"/>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row>
    <row r="71" spans="2:51" x14ac:dyDescent="0.25">
      <c r="B71" s="34"/>
      <c r="C71" s="35"/>
      <c r="D71" s="35"/>
      <c r="M71" s="34"/>
      <c r="N71" s="35"/>
      <c r="O71" s="35"/>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row>
    <row r="72" spans="2:51" x14ac:dyDescent="0.25">
      <c r="B72" s="34"/>
      <c r="C72" s="35"/>
      <c r="D72" s="35"/>
      <c r="M72" s="34"/>
      <c r="N72" s="35"/>
      <c r="O72" s="35"/>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row>
    <row r="73" spans="2:51" x14ac:dyDescent="0.25">
      <c r="B73" s="34"/>
      <c r="C73" s="35"/>
      <c r="D73" s="35"/>
      <c r="M73" s="34"/>
      <c r="N73" s="35"/>
      <c r="O73" s="35"/>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row>
    <row r="74" spans="2:51" x14ac:dyDescent="0.25">
      <c r="B74" s="34"/>
      <c r="C74" s="35"/>
      <c r="D74" s="35"/>
      <c r="M74" s="34"/>
      <c r="N74" s="35"/>
      <c r="O74" s="35"/>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row>
    <row r="75" spans="2:51" x14ac:dyDescent="0.25">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row>
    <row r="76" spans="2:51" x14ac:dyDescent="0.25">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row>
    <row r="77" spans="2:51" x14ac:dyDescent="0.25">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row>
    <row r="78" spans="2:51" x14ac:dyDescent="0.25">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row>
    <row r="79" spans="2:51" x14ac:dyDescent="0.25">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row>
    <row r="80" spans="2:51" x14ac:dyDescent="0.25">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row>
    <row r="81" spans="1:51" x14ac:dyDescent="0.25">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row>
    <row r="82" spans="1:51" x14ac:dyDescent="0.25">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row>
    <row r="83" spans="1:51" x14ac:dyDescent="0.25">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row>
    <row r="84" spans="1:51" x14ac:dyDescent="0.25">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row>
    <row r="85" spans="1:51" x14ac:dyDescent="0.25">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row>
    <row r="86" spans="1:51" x14ac:dyDescent="0.25">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row>
    <row r="87" spans="1:51" x14ac:dyDescent="0.25">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row>
    <row r="88" spans="1:51" x14ac:dyDescent="0.25">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row>
    <row r="89" spans="1:51" x14ac:dyDescent="0.25">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row>
    <row r="90" spans="1:51" ht="33.75" customHeight="1" x14ac:dyDescent="0.25">
      <c r="A90" s="26"/>
      <c r="B90" s="29" t="s">
        <v>127</v>
      </c>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row>
    <row r="91" spans="1:51" x14ac:dyDescent="0.25">
      <c r="G91" s="1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row>
    <row r="92" spans="1:51" x14ac:dyDescent="0.25">
      <c r="G92" s="1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row>
    <row r="93" spans="1:51" x14ac:dyDescent="0.25">
      <c r="G93" s="1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row>
    <row r="94" spans="1:51" x14ac:dyDescent="0.25">
      <c r="G94" s="1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row>
    <row r="95" spans="1:51" x14ac:dyDescent="0.25">
      <c r="G95" s="1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row>
    <row r="96" spans="1:51" x14ac:dyDescent="0.25">
      <c r="G96" s="1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row>
    <row r="97" spans="1:51" x14ac:dyDescent="0.25">
      <c r="F97" s="35"/>
      <c r="G97" s="85"/>
      <c r="H97" s="35"/>
      <c r="I97" s="35"/>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row>
    <row r="98" spans="1:51" x14ac:dyDescent="0.25">
      <c r="F98" s="35"/>
      <c r="G98" s="85"/>
      <c r="H98" s="85"/>
      <c r="I98" s="35"/>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row>
    <row r="99" spans="1:51" x14ac:dyDescent="0.25">
      <c r="F99" s="35"/>
      <c r="G99" s="85"/>
      <c r="H99" s="35"/>
      <c r="I99" s="35"/>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row>
    <row r="100" spans="1:51" x14ac:dyDescent="0.25">
      <c r="B100" s="36" t="s">
        <v>128</v>
      </c>
      <c r="C100" s="37" t="s">
        <v>129</v>
      </c>
      <c r="D100" s="37" t="s">
        <v>129</v>
      </c>
      <c r="E100" s="37" t="s">
        <v>129</v>
      </c>
      <c r="F100" s="286"/>
      <c r="G100" s="286"/>
      <c r="H100" s="286"/>
      <c r="I100" s="286"/>
      <c r="J100" s="16"/>
      <c r="L100" s="16"/>
      <c r="S100" s="38"/>
      <c r="T100" s="38"/>
      <c r="U100" s="38"/>
      <c r="V100" s="38"/>
      <c r="W100" s="38"/>
      <c r="X100" s="38"/>
      <c r="Y100" s="38"/>
      <c r="Z100" s="38"/>
      <c r="AA100" s="38"/>
      <c r="AB100" s="26"/>
      <c r="AC100" s="26"/>
      <c r="AD100" s="26"/>
      <c r="AE100" s="26"/>
      <c r="AF100" s="26"/>
      <c r="AG100" s="26"/>
      <c r="AH100" s="26"/>
      <c r="AI100" s="26"/>
      <c r="AJ100" s="26"/>
      <c r="AK100" s="26"/>
      <c r="AL100" s="26"/>
      <c r="AM100" s="26"/>
      <c r="AN100" s="26"/>
      <c r="AO100" s="26"/>
      <c r="AP100" s="26"/>
      <c r="AQ100" s="26"/>
      <c r="AR100" s="26"/>
      <c r="AS100" s="26"/>
      <c r="AT100" s="26"/>
      <c r="AU100" s="26"/>
      <c r="AV100" s="26"/>
    </row>
    <row r="101" spans="1:51" x14ac:dyDescent="0.25">
      <c r="B101" s="14"/>
      <c r="C101" s="30">
        <v>2018</v>
      </c>
      <c r="D101" s="30" t="s">
        <v>223</v>
      </c>
      <c r="E101" s="30" t="s">
        <v>224</v>
      </c>
      <c r="F101" s="287"/>
      <c r="G101" s="287"/>
      <c r="H101" s="287"/>
      <c r="I101" s="288"/>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row>
    <row r="102" spans="1:51" ht="12.75" customHeight="1" x14ac:dyDescent="0.25">
      <c r="A102" s="437" t="s">
        <v>130</v>
      </c>
      <c r="B102" s="39" t="s">
        <v>131</v>
      </c>
      <c r="C102" s="12">
        <f>'2018'!$A$81*(1-'2018'!$A$87%)</f>
        <v>-73.331285451328</v>
      </c>
      <c r="D102" s="12">
        <f>'BAU2030'!$A$81*(1-'BAU2030'!$A$87%)</f>
        <v>-499.28707721981556</v>
      </c>
      <c r="E102" s="12">
        <f>'BAU2050'!$A$81*(1-'BAU2050'!$A$87%)</f>
        <v>0</v>
      </c>
      <c r="F102" s="289"/>
      <c r="G102" s="289"/>
      <c r="H102" s="289"/>
      <c r="I102" s="289"/>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row>
    <row r="103" spans="1:51" ht="12.75" customHeight="1" x14ac:dyDescent="0.25">
      <c r="A103" s="438"/>
      <c r="B103" s="39" t="s">
        <v>132</v>
      </c>
      <c r="C103" s="12">
        <f>'2018'!$C$81</f>
        <v>9.3000000000000007</v>
      </c>
      <c r="D103" s="12">
        <f>'BAU2030'!$C$81</f>
        <v>8.9280000000000008</v>
      </c>
      <c r="E103" s="12">
        <f>'BAU2050'!$C$81</f>
        <v>8.370000000000001</v>
      </c>
      <c r="F103" s="289"/>
      <c r="G103" s="289"/>
      <c r="H103" s="289"/>
      <c r="I103" s="289"/>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row>
    <row r="104" spans="1:51" x14ac:dyDescent="0.25">
      <c r="A104" s="438"/>
      <c r="B104" s="39" t="s">
        <v>133</v>
      </c>
      <c r="C104" s="12">
        <f>'2018'!$I$81+'2018'!$B$81</f>
        <v>1281.4999999999998</v>
      </c>
      <c r="D104" s="12">
        <f>'BAU2030'!$I$81+'BAU2030'!$B$81</f>
        <v>1088.4923199999998</v>
      </c>
      <c r="E104" s="12">
        <f>'BAU2050'!$I$81+'BAU2050'!$B$81</f>
        <v>1084.8837999999998</v>
      </c>
      <c r="F104" s="289"/>
      <c r="G104" s="289"/>
      <c r="H104" s="289"/>
      <c r="I104" s="289"/>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row>
    <row r="105" spans="1:51" x14ac:dyDescent="0.25">
      <c r="A105" s="438"/>
      <c r="B105" s="39" t="s">
        <v>134</v>
      </c>
      <c r="C105" s="12">
        <f>'2018'!$D$81</f>
        <v>0.1</v>
      </c>
      <c r="D105" s="12">
        <f>'BAU2030'!$D$81</f>
        <v>9.5000000000000001E-2</v>
      </c>
      <c r="E105" s="12">
        <f>'BAU2050'!$D$81</f>
        <v>9.5000000000000001E-2</v>
      </c>
      <c r="F105" s="289"/>
      <c r="G105" s="289"/>
      <c r="H105" s="289"/>
      <c r="I105" s="289"/>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row>
    <row r="106" spans="1:51" x14ac:dyDescent="0.25">
      <c r="A106" s="438"/>
      <c r="B106" s="39" t="s">
        <v>135</v>
      </c>
      <c r="C106" s="12">
        <f>'2018'!$E$81+'2018'!$F$81</f>
        <v>2041.9823000000001</v>
      </c>
      <c r="D106" s="12">
        <f>'BAU2030'!$E$81+'BAU2030'!$F$81</f>
        <v>1801.011577</v>
      </c>
      <c r="E106" s="12">
        <f>'BAU2050'!$E$81+'BAU2050'!$F$81</f>
        <v>1059.85546</v>
      </c>
      <c r="F106" s="289"/>
      <c r="G106" s="289"/>
      <c r="H106" s="289"/>
      <c r="I106" s="289"/>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row>
    <row r="107" spans="1:51" x14ac:dyDescent="0.25">
      <c r="A107" s="438"/>
      <c r="B107" s="39" t="s">
        <v>136</v>
      </c>
      <c r="C107" s="12">
        <f>'2018'!$G$81</f>
        <v>760.2</v>
      </c>
      <c r="D107" s="12">
        <f>'BAU2030'!$G$81</f>
        <v>813.4140000000001</v>
      </c>
      <c r="E107" s="12">
        <f>'BAU2050'!$G$81</f>
        <v>912.24</v>
      </c>
      <c r="F107" s="289"/>
      <c r="G107" s="289"/>
      <c r="H107" s="289"/>
      <c r="I107" s="289"/>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row>
    <row r="108" spans="1:51" x14ac:dyDescent="0.25">
      <c r="A108" s="438"/>
      <c r="B108" s="39" t="s">
        <v>137</v>
      </c>
      <c r="C108" s="12">
        <f>'2018'!$H$81</f>
        <v>996.6413</v>
      </c>
      <c r="D108" s="12">
        <f>'BAU2030'!$H$81</f>
        <v>787.57062700000006</v>
      </c>
      <c r="E108" s="12">
        <f>'BAU2050'!$H$81</f>
        <v>200.12826000000001</v>
      </c>
      <c r="F108" s="289"/>
      <c r="G108" s="289"/>
      <c r="H108" s="289"/>
      <c r="I108" s="289"/>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row>
    <row r="109" spans="1:51" x14ac:dyDescent="0.25">
      <c r="A109" s="439"/>
      <c r="B109" s="39" t="s">
        <v>138</v>
      </c>
      <c r="C109" s="12">
        <f>'2018'!$W$81</f>
        <v>0</v>
      </c>
      <c r="D109" s="12">
        <f>'BAU2030'!$W$81</f>
        <v>0</v>
      </c>
      <c r="E109" s="12">
        <f>'BAU2050'!$W$81</f>
        <v>0</v>
      </c>
      <c r="F109" s="289"/>
      <c r="G109" s="289"/>
      <c r="H109" s="289"/>
      <c r="I109" s="289"/>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row>
    <row r="110" spans="1:51" ht="12.75" customHeight="1" x14ac:dyDescent="0.25">
      <c r="A110" s="437" t="s">
        <v>139</v>
      </c>
      <c r="B110" s="39" t="s">
        <v>140</v>
      </c>
      <c r="C110" s="12">
        <f>'2018'!$U$81+SUM('2018'!$T$16:$T$25)</f>
        <v>0</v>
      </c>
      <c r="D110" s="12">
        <f>'BAU2030'!$U$81+SUM('BAU2030'!$T$16:$T$25)</f>
        <v>0</v>
      </c>
      <c r="E110" s="12">
        <f>'BAU2050'!$U$81+SUM('BAU2050'!$T$16:$T$25)</f>
        <v>0</v>
      </c>
      <c r="F110" s="289"/>
      <c r="G110" s="289"/>
      <c r="H110" s="289"/>
      <c r="I110" s="289"/>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row>
    <row r="111" spans="1:51" x14ac:dyDescent="0.25">
      <c r="A111" s="438"/>
      <c r="B111" s="39" t="s">
        <v>141</v>
      </c>
      <c r="C111" s="12">
        <f>'2018'!$P$81+'2018'!$Q$81+'2018'!$R$81+'2018'!$S$81</f>
        <v>3614.7764000000002</v>
      </c>
      <c r="D111" s="12">
        <f>'BAU2030'!$P$81+'BAU2030'!$Q$81+'BAU2030'!$R$81+'BAU2030'!$S$81</f>
        <v>3489.6524600000002</v>
      </c>
      <c r="E111" s="12">
        <f>'BAU2050'!$P$81+'BAU2050'!$Q$81+'BAU2050'!$R$81+'BAU2050'!$S$81</f>
        <v>3221.9262800000006</v>
      </c>
      <c r="F111" s="289"/>
      <c r="G111" s="289"/>
      <c r="H111" s="289"/>
      <c r="I111" s="289"/>
      <c r="K111" s="31"/>
      <c r="L111" s="31"/>
      <c r="M111" s="31"/>
      <c r="N111" s="31"/>
      <c r="O111" s="31"/>
      <c r="P111" s="31"/>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row>
    <row r="112" spans="1:51" x14ac:dyDescent="0.25">
      <c r="A112" s="438"/>
      <c r="B112" s="39" t="s">
        <v>142</v>
      </c>
      <c r="C112" s="12">
        <f>'2018'!$J$81</f>
        <v>1209.5999999999999</v>
      </c>
      <c r="D112" s="12">
        <f>'BAU2030'!$J$81</f>
        <v>2195.6</v>
      </c>
      <c r="E112" s="12">
        <f>'BAU2050'!$J$81</f>
        <v>1489.3999999999999</v>
      </c>
      <c r="F112" s="289"/>
      <c r="G112" s="289"/>
      <c r="H112" s="289"/>
      <c r="I112" s="289"/>
      <c r="K112" s="81"/>
      <c r="L112" s="81"/>
      <c r="M112" s="81"/>
      <c r="N112" s="81"/>
      <c r="O112" s="81"/>
      <c r="P112" s="81"/>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row>
    <row r="113" spans="1:51" x14ac:dyDescent="0.25">
      <c r="A113" s="438"/>
      <c r="B113" s="39" t="s">
        <v>143</v>
      </c>
      <c r="C113" s="12">
        <f>'2018'!$O$81+'2018'!$V$81+SUM('2018'!$T$31:$T$70)</f>
        <v>30.7</v>
      </c>
      <c r="D113" s="12">
        <f>'BAU2030'!$O$81+'BAU2030'!$V$81+SUM('BAU2030'!$T$31:$T$70)</f>
        <v>29.472000000000001</v>
      </c>
      <c r="E113" s="12">
        <f>'BAU2050'!$O$81+'BAU2050'!$V$81+SUM('BAU2050'!$T$31:$T$70)</f>
        <v>27.630000000000003</v>
      </c>
      <c r="F113" s="289"/>
      <c r="G113" s="289"/>
      <c r="H113" s="289"/>
      <c r="I113" s="289"/>
      <c r="K113" s="81"/>
      <c r="L113" s="81"/>
      <c r="M113" s="81"/>
      <c r="N113" s="81"/>
      <c r="O113" s="81"/>
      <c r="P113" s="81"/>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row>
    <row r="114" spans="1:51" x14ac:dyDescent="0.25">
      <c r="A114" s="438"/>
      <c r="B114" s="39" t="s">
        <v>144</v>
      </c>
      <c r="C114" s="12">
        <f>'2018'!$L$81</f>
        <v>73.099999999999994</v>
      </c>
      <c r="D114" s="12">
        <f>'BAU2030'!$L$81</f>
        <v>237.26000000000002</v>
      </c>
      <c r="E114" s="12">
        <f>'BAU2050'!$L$81</f>
        <v>237.26000000000002</v>
      </c>
      <c r="F114" s="289"/>
      <c r="G114" s="289"/>
      <c r="H114" s="289"/>
      <c r="I114" s="289"/>
      <c r="S114" s="40"/>
      <c r="T114" s="40"/>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row>
    <row r="115" spans="1:51" x14ac:dyDescent="0.25">
      <c r="A115" s="438"/>
      <c r="B115" s="39" t="s">
        <v>145</v>
      </c>
      <c r="C115" s="12">
        <f>'2018'!$K$81+'2018'!$M$81+'2018'!$N$81</f>
        <v>18</v>
      </c>
      <c r="D115" s="12">
        <f>'BAU2030'!$K$81+'BAU2030'!$M$81+'BAU2030'!$N$81</f>
        <v>207.98000000000002</v>
      </c>
      <c r="E115" s="12">
        <f>'BAU2050'!$K$81+'BAU2050'!$M$81+'BAU2050'!$N$81</f>
        <v>273</v>
      </c>
      <c r="F115" s="289"/>
      <c r="G115" s="289"/>
      <c r="H115" s="289"/>
      <c r="I115" s="289"/>
      <c r="K115" s="247"/>
      <c r="L115" s="247"/>
      <c r="M115" s="247"/>
      <c r="N115" s="247"/>
      <c r="O115" s="247"/>
      <c r="P115" s="247"/>
      <c r="S115" s="40"/>
      <c r="T115" s="40"/>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row>
    <row r="116" spans="1:51" x14ac:dyDescent="0.25">
      <c r="A116" s="439"/>
      <c r="B116" s="39" t="s">
        <v>146</v>
      </c>
      <c r="C116" s="12">
        <f>'2018'!$A$81*'2018'!$A$87%</f>
        <v>-57.61743856890056</v>
      </c>
      <c r="D116" s="12">
        <f>'BAU2030'!$A$81*'BAU2030'!$A$87%</f>
        <v>-392.29698924414072</v>
      </c>
      <c r="E116" s="12">
        <f>'BAU2050'!$A$81*'BAU2050'!$A$87%</f>
        <v>382.89561361760877</v>
      </c>
      <c r="F116" s="289"/>
      <c r="G116" s="289"/>
      <c r="H116" s="289"/>
      <c r="I116" s="289"/>
      <c r="S116" s="41"/>
      <c r="T116" s="40"/>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row>
    <row r="117" spans="1:51" ht="13.8" thickBot="1" x14ac:dyDescent="0.3">
      <c r="B117" s="42" t="s">
        <v>147</v>
      </c>
      <c r="C117" s="43">
        <f>SUM(C102:C116)</f>
        <v>9904.9512759797726</v>
      </c>
      <c r="D117" s="43">
        <f>SUM(D102:D116)</f>
        <v>9767.8919175360425</v>
      </c>
      <c r="E117" s="43">
        <f>SUM(E102:E116)</f>
        <v>8897.6844136176078</v>
      </c>
      <c r="F117" s="290"/>
      <c r="G117" s="290"/>
      <c r="H117" s="290"/>
      <c r="I117" s="290"/>
      <c r="S117" s="41"/>
      <c r="T117" s="40"/>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row>
    <row r="118" spans="1:51" x14ac:dyDescent="0.25">
      <c r="B118" s="44" t="s">
        <v>148</v>
      </c>
      <c r="C118" s="13">
        <f>SUM(C102:C109)</f>
        <v>5016.3923145486724</v>
      </c>
      <c r="D118" s="13">
        <f>SUM(D102:D109)</f>
        <v>4000.2244467801843</v>
      </c>
      <c r="E118" s="13">
        <f>SUM(E102:E109)</f>
        <v>3265.5725199999993</v>
      </c>
      <c r="F118" s="289"/>
      <c r="G118" s="289"/>
      <c r="H118" s="289"/>
      <c r="I118" s="291"/>
      <c r="J118" s="16"/>
      <c r="L118" s="16"/>
      <c r="S118" s="45"/>
      <c r="T118" s="40"/>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row>
    <row r="119" spans="1:51" x14ac:dyDescent="0.25">
      <c r="B119" s="32" t="s">
        <v>149</v>
      </c>
      <c r="C119" s="12">
        <f>SUM(C110:C116)</f>
        <v>4888.5589614310993</v>
      </c>
      <c r="D119" s="12">
        <f>SUM(D110:D116)</f>
        <v>5767.6674707558586</v>
      </c>
      <c r="E119" s="12">
        <f>SUM(E110:E116)</f>
        <v>5632.111893617609</v>
      </c>
      <c r="F119" s="289"/>
      <c r="G119" s="289"/>
      <c r="H119" s="289"/>
      <c r="I119" s="291"/>
      <c r="S119" s="45"/>
      <c r="T119" s="40"/>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row>
    <row r="120" spans="1:51" x14ac:dyDescent="0.25">
      <c r="B120" s="34" t="s">
        <v>247</v>
      </c>
      <c r="C120" s="46">
        <f>C111</f>
        <v>3614.7764000000002</v>
      </c>
      <c r="D120" s="46">
        <f>D111</f>
        <v>3489.6524600000002</v>
      </c>
      <c r="E120" s="46">
        <f>E111</f>
        <v>3221.9262800000006</v>
      </c>
      <c r="F120" s="46"/>
      <c r="G120" s="46"/>
      <c r="H120" s="46"/>
      <c r="I120" s="35"/>
      <c r="S120" s="45"/>
      <c r="T120" s="40"/>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row>
    <row r="121" spans="1:51" x14ac:dyDescent="0.25">
      <c r="B121" s="34" t="s">
        <v>143</v>
      </c>
      <c r="C121" s="46">
        <f>C113</f>
        <v>30.7</v>
      </c>
      <c r="D121" s="46">
        <f>D113</f>
        <v>29.472000000000001</v>
      </c>
      <c r="E121" s="46">
        <f>E113</f>
        <v>27.630000000000003</v>
      </c>
      <c r="F121" s="46"/>
      <c r="G121" s="46"/>
      <c r="H121" s="46"/>
      <c r="I121" s="35"/>
      <c r="S121" s="45"/>
      <c r="T121" s="40"/>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row>
    <row r="122" spans="1:51" x14ac:dyDescent="0.25">
      <c r="B122" s="34" t="s">
        <v>245</v>
      </c>
      <c r="C122" s="46">
        <f>C109+C110</f>
        <v>0</v>
      </c>
      <c r="D122" s="46">
        <f>D109+D110</f>
        <v>0</v>
      </c>
      <c r="E122" s="46">
        <f>E109+E110</f>
        <v>0</v>
      </c>
      <c r="F122" s="46"/>
      <c r="G122" s="46"/>
      <c r="H122" s="46"/>
      <c r="I122" s="35"/>
      <c r="S122" s="45"/>
      <c r="T122" s="40"/>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row>
    <row r="123" spans="1:51" x14ac:dyDescent="0.25">
      <c r="B123" s="34" t="s">
        <v>246</v>
      </c>
      <c r="C123" s="46">
        <f>SUM(C103:C108)</f>
        <v>5089.7236000000003</v>
      </c>
      <c r="D123" s="46">
        <f>SUM(D103:D108)</f>
        <v>4499.5115239999996</v>
      </c>
      <c r="E123" s="46">
        <f>SUM(E103:E108)</f>
        <v>3265.5725199999993</v>
      </c>
      <c r="F123" s="46"/>
      <c r="G123" s="46"/>
      <c r="H123" s="46"/>
      <c r="S123" s="26"/>
      <c r="T123" s="26"/>
      <c r="U123" s="40"/>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row>
    <row r="124" spans="1:51" x14ac:dyDescent="0.25">
      <c r="B124" s="34" t="s">
        <v>177</v>
      </c>
      <c r="C124" s="46">
        <f>C102+C116+C115+C112+C114</f>
        <v>1169.7512759797712</v>
      </c>
      <c r="D124" s="46">
        <f>D102+D116+D115+D112+D114</f>
        <v>1749.2559335360436</v>
      </c>
      <c r="E124" s="46">
        <f>E102+E116+E115+E112+E114</f>
        <v>2382.5556136176087</v>
      </c>
      <c r="F124" s="46"/>
      <c r="G124" s="46"/>
      <c r="H124" s="46"/>
      <c r="S124" s="26"/>
      <c r="T124" s="26"/>
      <c r="U124" s="40"/>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row>
    <row r="125" spans="1:51" x14ac:dyDescent="0.25">
      <c r="C125" s="92">
        <f>(C112+C114)/C124*100</f>
        <v>109.65578976826711</v>
      </c>
      <c r="D125" s="92">
        <f>(D112+D114)/D124*100</f>
        <v>139.07970545408304</v>
      </c>
      <c r="E125" s="92">
        <f>(E112+E114)/E124*100</f>
        <v>72.470921145814742</v>
      </c>
      <c r="F125" s="92"/>
      <c r="G125" s="92"/>
      <c r="H125" s="92"/>
      <c r="I125" s="91"/>
      <c r="J125" s="91"/>
      <c r="S125" s="26"/>
      <c r="T125" s="26"/>
      <c r="U125" s="40"/>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row>
    <row r="126" spans="1:51" x14ac:dyDescent="0.25">
      <c r="B126" s="31" t="s">
        <v>128</v>
      </c>
      <c r="C126" s="91">
        <f>C112/C124*100</f>
        <v>103.40659803827543</v>
      </c>
      <c r="D126" s="91">
        <f>D112/D124*100</f>
        <v>125.516224236078</v>
      </c>
      <c r="E126" s="91">
        <f>E112/E124*100</f>
        <v>62.512706586459686</v>
      </c>
      <c r="F126" s="91"/>
      <c r="G126" s="91"/>
      <c r="H126" s="91"/>
      <c r="I126" s="91"/>
      <c r="J126" s="91"/>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row>
    <row r="127" spans="1:51" x14ac:dyDescent="0.25">
      <c r="C127" s="91">
        <f>C114/C124*100</f>
        <v>6.2491917299916784</v>
      </c>
      <c r="D127" s="91">
        <f>D114/D124*100</f>
        <v>13.563481218005041</v>
      </c>
      <c r="E127" s="91">
        <f>E114/E124*100</f>
        <v>9.9582145593550599</v>
      </c>
      <c r="F127" s="91"/>
      <c r="G127" s="91"/>
      <c r="H127" s="91"/>
      <c r="I127" s="91"/>
      <c r="J127" s="91"/>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row>
    <row r="128" spans="1:51" x14ac:dyDescent="0.25">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row>
    <row r="129" spans="10:51" x14ac:dyDescent="0.25">
      <c r="J129" s="6"/>
      <c r="K129" s="6"/>
      <c r="L129" s="6"/>
      <c r="M129" s="6"/>
      <c r="N129" s="6"/>
      <c r="O129" s="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row>
    <row r="130" spans="10:51" x14ac:dyDescent="0.25">
      <c r="J130" s="6"/>
      <c r="K130" s="6"/>
      <c r="L130" s="6"/>
      <c r="M130" s="6"/>
      <c r="N130" s="6"/>
      <c r="O130" s="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row>
    <row r="131" spans="10:51" x14ac:dyDescent="0.25">
      <c r="J131" s="6"/>
      <c r="K131" s="6"/>
      <c r="L131" s="6"/>
      <c r="M131" s="6"/>
      <c r="N131" s="6"/>
      <c r="O131" s="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row>
    <row r="132" spans="10:51" x14ac:dyDescent="0.25">
      <c r="J132" s="6"/>
      <c r="K132" s="6"/>
      <c r="L132" s="6"/>
      <c r="M132" s="6"/>
      <c r="N132" s="6"/>
      <c r="O132" s="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row>
    <row r="133" spans="10:51" x14ac:dyDescent="0.25">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row>
    <row r="134" spans="10:51" x14ac:dyDescent="0.25">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row>
    <row r="135" spans="10:51" x14ac:dyDescent="0.25">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row>
    <row r="136" spans="10:51" x14ac:dyDescent="0.25">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row>
    <row r="137" spans="10:51" x14ac:dyDescent="0.25">
      <c r="J137" s="6"/>
      <c r="K137" s="6"/>
      <c r="L137" s="6"/>
      <c r="M137" s="6"/>
      <c r="N137" s="6"/>
      <c r="O137" s="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row>
    <row r="138" spans="10:51" x14ac:dyDescent="0.25">
      <c r="J138" s="6"/>
      <c r="K138" s="6"/>
      <c r="L138" s="6"/>
      <c r="M138" s="6"/>
      <c r="N138" s="6"/>
      <c r="O138" s="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row>
    <row r="139" spans="10:51" x14ac:dyDescent="0.25">
      <c r="J139" s="6"/>
      <c r="K139" s="6"/>
      <c r="L139" s="6"/>
      <c r="M139" s="6"/>
      <c r="N139" s="6"/>
      <c r="O139" s="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row>
    <row r="140" spans="10:51" x14ac:dyDescent="0.25">
      <c r="J140" s="6"/>
      <c r="K140" s="6"/>
      <c r="L140" s="6"/>
      <c r="M140" s="6"/>
      <c r="N140" s="6"/>
      <c r="O140" s="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row>
    <row r="141" spans="10:51" x14ac:dyDescent="0.25">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row>
    <row r="142" spans="10:51" x14ac:dyDescent="0.25">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row>
    <row r="143" spans="10:51" x14ac:dyDescent="0.25">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row>
    <row r="144" spans="10:51" x14ac:dyDescent="0.25">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row>
    <row r="145" spans="2:51" x14ac:dyDescent="0.25">
      <c r="J145" s="6"/>
      <c r="K145" s="6"/>
      <c r="L145" s="6"/>
      <c r="M145" s="6"/>
      <c r="N145" s="6"/>
      <c r="O145" s="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row>
    <row r="146" spans="2:51" x14ac:dyDescent="0.25">
      <c r="J146" s="6"/>
      <c r="K146" s="6"/>
      <c r="L146" s="6"/>
      <c r="M146" s="6"/>
      <c r="N146" s="6"/>
      <c r="O146" s="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row>
    <row r="147" spans="2:51" x14ac:dyDescent="0.25">
      <c r="J147" s="6"/>
      <c r="K147" s="6"/>
      <c r="L147" s="6"/>
      <c r="M147" s="6"/>
      <c r="N147" s="6"/>
      <c r="O147" s="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row>
    <row r="148" spans="2:51" x14ac:dyDescent="0.25">
      <c r="J148" s="6"/>
      <c r="K148" s="6"/>
      <c r="L148" s="6"/>
      <c r="M148" s="6"/>
      <c r="N148" s="6"/>
      <c r="O148" s="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row>
    <row r="149" spans="2:51" x14ac:dyDescent="0.25">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row>
    <row r="150" spans="2:51" x14ac:dyDescent="0.25">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row>
    <row r="151" spans="2:51" x14ac:dyDescent="0.25">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row>
    <row r="152" spans="2:51" x14ac:dyDescent="0.25">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row>
    <row r="153" spans="2:51" x14ac:dyDescent="0.25">
      <c r="J153" s="6"/>
      <c r="K153" s="6"/>
      <c r="L153" s="6"/>
      <c r="M153" s="6"/>
      <c r="N153" s="6"/>
      <c r="O153" s="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row>
    <row r="154" spans="2:51" x14ac:dyDescent="0.25">
      <c r="J154" s="6"/>
      <c r="K154" s="6"/>
      <c r="L154" s="6"/>
      <c r="M154" s="6"/>
      <c r="N154" s="6"/>
      <c r="O154" s="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row>
    <row r="155" spans="2:51" x14ac:dyDescent="0.25">
      <c r="B155" s="31" t="s">
        <v>235</v>
      </c>
      <c r="C155" s="49"/>
      <c r="D155" s="49"/>
      <c r="E155" s="49"/>
      <c r="F155" s="49"/>
      <c r="J155" s="6"/>
      <c r="K155" s="6"/>
      <c r="L155" s="6"/>
      <c r="M155" s="6"/>
      <c r="N155" s="6"/>
      <c r="O155" s="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row>
    <row r="156" spans="2:51" x14ac:dyDescent="0.25">
      <c r="B156" s="31"/>
      <c r="C156" s="49"/>
      <c r="D156" s="49"/>
      <c r="E156" s="49"/>
      <c r="F156" s="49"/>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row>
    <row r="157" spans="2:51" x14ac:dyDescent="0.25">
      <c r="B157" s="31"/>
      <c r="C157" s="49"/>
      <c r="D157" s="49"/>
      <c r="E157" s="49"/>
      <c r="F157" s="49"/>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row>
    <row r="158" spans="2:51" x14ac:dyDescent="0.25">
      <c r="B158" s="31"/>
      <c r="C158" s="47"/>
      <c r="D158" s="47"/>
      <c r="E158" s="48"/>
      <c r="F158" s="48"/>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row>
    <row r="159" spans="2:51" x14ac:dyDescent="0.25">
      <c r="B159" s="31"/>
      <c r="C159" s="47"/>
      <c r="D159" s="47"/>
      <c r="E159" s="48"/>
      <c r="F159" s="48"/>
      <c r="N159" s="6"/>
      <c r="O159" s="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row>
    <row r="160" spans="2:51" x14ac:dyDescent="0.25">
      <c r="B160" s="31"/>
      <c r="C160" s="49"/>
      <c r="D160" s="49"/>
      <c r="E160" s="49"/>
      <c r="F160" s="49"/>
      <c r="N160" s="6"/>
      <c r="O160" s="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row>
    <row r="161" spans="2:51" x14ac:dyDescent="0.25">
      <c r="B161" s="31"/>
      <c r="C161" s="49"/>
      <c r="D161" s="49"/>
      <c r="E161" s="49"/>
      <c r="F161" s="49"/>
      <c r="N161" s="6"/>
      <c r="O161" s="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row>
    <row r="162" spans="2:51" x14ac:dyDescent="0.25">
      <c r="B162" s="31"/>
      <c r="C162" s="50"/>
      <c r="D162" s="50"/>
      <c r="N162" s="6"/>
      <c r="O162" s="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row>
    <row r="163" spans="2:51" x14ac:dyDescent="0.25">
      <c r="B163" s="31"/>
      <c r="C163" s="50"/>
      <c r="D163" s="50"/>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row>
    <row r="164" spans="2:51" x14ac:dyDescent="0.25">
      <c r="B164" s="31"/>
      <c r="C164" s="50"/>
      <c r="D164" s="50"/>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row>
    <row r="165" spans="2:51" x14ac:dyDescent="0.25">
      <c r="B165" s="31"/>
      <c r="C165" s="50"/>
      <c r="D165" s="50"/>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row>
    <row r="166" spans="2:51" x14ac:dyDescent="0.25">
      <c r="B166" s="31"/>
      <c r="C166" s="50"/>
      <c r="D166" s="50"/>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row>
    <row r="167" spans="2:51" x14ac:dyDescent="0.25">
      <c r="B167" s="31"/>
      <c r="C167" s="50"/>
      <c r="D167" s="50"/>
      <c r="N167" s="6"/>
      <c r="O167" s="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row>
    <row r="168" spans="2:51" x14ac:dyDescent="0.25">
      <c r="B168" s="31"/>
      <c r="C168" s="50"/>
      <c r="D168" s="50"/>
      <c r="N168" s="6"/>
      <c r="O168" s="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row>
    <row r="169" spans="2:51" x14ac:dyDescent="0.25">
      <c r="B169" s="31"/>
      <c r="C169" s="50"/>
      <c r="D169" s="50"/>
      <c r="N169" s="6"/>
      <c r="O169" s="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row>
    <row r="170" spans="2:51" x14ac:dyDescent="0.25">
      <c r="B170" s="31"/>
      <c r="C170" s="50"/>
      <c r="D170" s="50"/>
      <c r="N170" s="6"/>
      <c r="O170" s="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row>
    <row r="171" spans="2:51" x14ac:dyDescent="0.25">
      <c r="B171" s="31"/>
      <c r="C171" s="50"/>
      <c r="D171" s="50"/>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row>
    <row r="172" spans="2:51" x14ac:dyDescent="0.25">
      <c r="B172" s="31"/>
      <c r="C172" s="50"/>
      <c r="D172" s="50"/>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row>
    <row r="173" spans="2:51" x14ac:dyDescent="0.25">
      <c r="B173" s="31"/>
      <c r="C173" s="50"/>
      <c r="D173" s="50"/>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row>
    <row r="174" spans="2:51" x14ac:dyDescent="0.25">
      <c r="B174" s="31"/>
      <c r="C174" s="50"/>
      <c r="D174" s="50"/>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row>
    <row r="175" spans="2:51" x14ac:dyDescent="0.25">
      <c r="B175" s="31"/>
      <c r="C175" s="50"/>
      <c r="D175" s="50"/>
      <c r="N175" s="6"/>
      <c r="O175" s="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row>
    <row r="176" spans="2:51" x14ac:dyDescent="0.25">
      <c r="B176" s="31"/>
      <c r="C176" s="50"/>
      <c r="D176" s="50"/>
      <c r="N176" s="6"/>
      <c r="O176" s="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row>
    <row r="177" spans="2:51" x14ac:dyDescent="0.25">
      <c r="B177" s="31"/>
      <c r="C177" s="50"/>
      <c r="D177" s="50"/>
      <c r="N177" s="6"/>
      <c r="O177" s="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row>
    <row r="178" spans="2:51" x14ac:dyDescent="0.25">
      <c r="B178" s="31"/>
      <c r="C178" s="50"/>
      <c r="D178" s="50"/>
      <c r="N178" s="6"/>
      <c r="O178" s="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row>
    <row r="179" spans="2:51" x14ac:dyDescent="0.25">
      <c r="B179" s="31"/>
      <c r="C179" s="50"/>
      <c r="D179" s="50"/>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row>
    <row r="180" spans="2:51" x14ac:dyDescent="0.25">
      <c r="C180" s="50"/>
      <c r="D180" s="50"/>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row>
    <row r="181" spans="2:51" x14ac:dyDescent="0.25">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row>
    <row r="182" spans="2:51" x14ac:dyDescent="0.25">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row>
    <row r="183" spans="2:51" x14ac:dyDescent="0.25">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row>
    <row r="184" spans="2:51" x14ac:dyDescent="0.25">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row>
    <row r="185" spans="2:51" x14ac:dyDescent="0.25">
      <c r="B185" s="31" t="s">
        <v>236</v>
      </c>
      <c r="C185" s="47"/>
      <c r="D185" s="47"/>
      <c r="E185" s="48"/>
      <c r="F185" s="48"/>
      <c r="N185" s="6"/>
      <c r="O185" s="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row>
    <row r="186" spans="2:51" x14ac:dyDescent="0.25">
      <c r="B186" s="31"/>
      <c r="C186" s="47"/>
      <c r="D186" s="47"/>
      <c r="E186" s="48"/>
      <c r="F186" s="48"/>
      <c r="N186" s="6"/>
      <c r="O186" s="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row>
    <row r="187" spans="2:51" x14ac:dyDescent="0.25">
      <c r="B187" s="31"/>
      <c r="C187" s="47"/>
      <c r="D187" s="47"/>
      <c r="E187" s="48"/>
      <c r="F187" s="48"/>
      <c r="N187" s="6"/>
      <c r="O187" s="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row>
    <row r="188" spans="2:51" x14ac:dyDescent="0.25">
      <c r="B188" s="31"/>
      <c r="C188" s="49"/>
      <c r="D188" s="49"/>
      <c r="E188" s="49"/>
      <c r="F188" s="49"/>
      <c r="N188" s="6"/>
      <c r="O188" s="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row>
    <row r="189" spans="2:51" x14ac:dyDescent="0.25">
      <c r="B189" s="31"/>
      <c r="C189" s="49"/>
      <c r="D189" s="49"/>
      <c r="E189" s="49"/>
      <c r="F189" s="49"/>
      <c r="N189" s="6"/>
      <c r="O189" s="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row>
    <row r="190" spans="2:51" x14ac:dyDescent="0.25">
      <c r="B190" s="31"/>
      <c r="C190" s="49"/>
      <c r="D190" s="49"/>
      <c r="E190" s="49"/>
      <c r="F190" s="49"/>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2:51" x14ac:dyDescent="0.25">
      <c r="B191" s="31"/>
      <c r="C191" s="49"/>
      <c r="D191" s="49"/>
      <c r="E191" s="49"/>
      <c r="F191" s="49"/>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row>
    <row r="192" spans="2:51" x14ac:dyDescent="0.25">
      <c r="B192" s="31"/>
      <c r="C192" s="47"/>
      <c r="D192" s="47"/>
      <c r="E192" s="48"/>
      <c r="F192" s="48"/>
      <c r="N192" s="6"/>
      <c r="O192" s="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row>
    <row r="193" spans="2:51" x14ac:dyDescent="0.25">
      <c r="B193" s="31"/>
      <c r="C193" s="47"/>
      <c r="D193" s="47"/>
      <c r="E193" s="48"/>
      <c r="F193" s="48"/>
      <c r="N193" s="6"/>
      <c r="O193" s="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row>
    <row r="194" spans="2:51" x14ac:dyDescent="0.25">
      <c r="B194" s="31"/>
      <c r="C194" s="47"/>
      <c r="D194" s="47"/>
      <c r="E194" s="48"/>
      <c r="F194" s="48"/>
      <c r="N194" s="6"/>
      <c r="O194" s="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row>
    <row r="195" spans="2:51" x14ac:dyDescent="0.25">
      <c r="B195" s="31"/>
      <c r="C195" s="47"/>
      <c r="D195" s="47"/>
      <c r="E195" s="48"/>
      <c r="F195" s="48"/>
      <c r="N195" s="6"/>
      <c r="O195" s="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row>
    <row r="196" spans="2:51" x14ac:dyDescent="0.25">
      <c r="B196" s="31"/>
      <c r="C196" s="49"/>
      <c r="D196" s="49"/>
      <c r="E196" s="49"/>
      <c r="F196" s="49"/>
      <c r="N196" s="6"/>
      <c r="O196" s="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row>
    <row r="197" spans="2:51" x14ac:dyDescent="0.25">
      <c r="B197" s="31"/>
      <c r="C197" s="49"/>
      <c r="D197" s="49"/>
      <c r="E197" s="49"/>
      <c r="F197" s="49"/>
      <c r="N197" s="6"/>
      <c r="O197" s="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row>
    <row r="198" spans="2:51" x14ac:dyDescent="0.25">
      <c r="B198" s="31"/>
      <c r="C198" s="49"/>
      <c r="D198" s="49"/>
      <c r="E198" s="49"/>
      <c r="F198" s="49"/>
      <c r="N198" s="6"/>
      <c r="O198" s="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row>
    <row r="199" spans="2:51" x14ac:dyDescent="0.25">
      <c r="B199" s="31"/>
      <c r="C199" s="49"/>
      <c r="D199" s="49"/>
      <c r="E199" s="49"/>
      <c r="F199" s="49"/>
      <c r="N199" s="6"/>
      <c r="O199" s="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row>
    <row r="200" spans="2:51" x14ac:dyDescent="0.25">
      <c r="B200" s="31"/>
      <c r="C200" s="47"/>
      <c r="D200" s="47"/>
      <c r="E200" s="48"/>
      <c r="F200" s="48"/>
      <c r="N200" s="6"/>
      <c r="O200" s="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row>
    <row r="201" spans="2:51" x14ac:dyDescent="0.25">
      <c r="B201" s="31"/>
      <c r="C201" s="47"/>
      <c r="D201" s="47"/>
      <c r="E201" s="48"/>
      <c r="F201" s="48"/>
      <c r="N201" s="6"/>
      <c r="O201" s="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row>
    <row r="202" spans="2:51" x14ac:dyDescent="0.25">
      <c r="B202" s="31"/>
      <c r="C202" s="47"/>
      <c r="D202" s="47"/>
      <c r="E202" s="48"/>
      <c r="F202" s="48"/>
      <c r="N202" s="6"/>
      <c r="O202" s="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row>
    <row r="203" spans="2:51" x14ac:dyDescent="0.25">
      <c r="B203" s="31"/>
      <c r="C203" s="47"/>
      <c r="D203" s="47"/>
      <c r="E203" s="48"/>
      <c r="F203" s="48"/>
      <c r="N203" s="6"/>
      <c r="O203" s="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row>
    <row r="204" spans="2:51" x14ac:dyDescent="0.25">
      <c r="B204" s="31"/>
      <c r="C204" s="49"/>
      <c r="D204" s="49"/>
      <c r="E204" s="49"/>
      <c r="F204" s="49"/>
      <c r="N204" s="6"/>
      <c r="O204" s="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row>
    <row r="205" spans="2:51" x14ac:dyDescent="0.25">
      <c r="B205" s="31"/>
      <c r="C205" s="49"/>
      <c r="D205" s="49"/>
      <c r="E205" s="49"/>
      <c r="F205" s="49"/>
      <c r="N205" s="6"/>
      <c r="O205" s="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row>
    <row r="206" spans="2:51" x14ac:dyDescent="0.25">
      <c r="B206" s="31"/>
      <c r="C206" s="49"/>
      <c r="D206" s="49"/>
      <c r="E206" s="49"/>
      <c r="F206" s="49"/>
      <c r="N206" s="6"/>
      <c r="O206" s="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row>
    <row r="207" spans="2:51" x14ac:dyDescent="0.25">
      <c r="B207" s="31"/>
      <c r="C207" s="49"/>
      <c r="D207" s="49"/>
      <c r="E207" s="49"/>
      <c r="F207" s="49"/>
      <c r="N207" s="6"/>
      <c r="O207" s="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row>
    <row r="208" spans="2:51" x14ac:dyDescent="0.25">
      <c r="B208" s="31"/>
      <c r="C208" s="47"/>
      <c r="D208" s="47"/>
      <c r="E208" s="48"/>
      <c r="F208" s="48"/>
      <c r="N208" s="6"/>
      <c r="O208" s="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row>
    <row r="209" spans="2:51" x14ac:dyDescent="0.25">
      <c r="B209" s="31"/>
      <c r="C209" s="47"/>
      <c r="D209" s="47"/>
      <c r="E209" s="48"/>
      <c r="F209" s="48"/>
      <c r="N209" s="6"/>
      <c r="O209" s="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row>
    <row r="210" spans="2:51" x14ac:dyDescent="0.25">
      <c r="B210" s="31"/>
      <c r="C210" s="47"/>
      <c r="D210" s="47"/>
      <c r="E210" s="48"/>
      <c r="F210" s="48"/>
      <c r="N210" s="6"/>
      <c r="O210" s="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row>
    <row r="211" spans="2:51" x14ac:dyDescent="0.25">
      <c r="B211" s="31"/>
      <c r="C211" s="47"/>
      <c r="D211" s="47"/>
      <c r="E211" s="48"/>
      <c r="F211" s="48"/>
      <c r="N211" s="6"/>
      <c r="O211" s="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row>
    <row r="212" spans="2:51" x14ac:dyDescent="0.25">
      <c r="B212" s="31"/>
      <c r="C212" s="49"/>
      <c r="D212" s="49"/>
      <c r="E212" s="49"/>
      <c r="F212" s="49"/>
      <c r="N212" s="6"/>
      <c r="O212" s="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row>
    <row r="213" spans="2:51" x14ac:dyDescent="0.25">
      <c r="B213" s="31"/>
      <c r="C213" s="49"/>
      <c r="D213" s="49"/>
      <c r="E213" s="49"/>
      <c r="F213" s="49"/>
      <c r="N213" s="6"/>
      <c r="O213" s="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row>
    <row r="214" spans="2:51" x14ac:dyDescent="0.25">
      <c r="B214" s="31" t="s">
        <v>150</v>
      </c>
      <c r="C214" s="47"/>
      <c r="D214" s="47"/>
      <c r="E214" s="48"/>
      <c r="F214" s="48"/>
      <c r="N214" s="6"/>
      <c r="O214" s="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row>
    <row r="215" spans="2:51" x14ac:dyDescent="0.25">
      <c r="B215" s="31"/>
      <c r="C215" s="47"/>
      <c r="D215" s="47"/>
      <c r="E215" s="48"/>
      <c r="F215" s="48"/>
      <c r="J215" s="6"/>
      <c r="K215" s="6"/>
      <c r="L215" s="6"/>
      <c r="M215" s="6"/>
      <c r="N215" s="6"/>
      <c r="O215" s="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row>
    <row r="216" spans="2:51" x14ac:dyDescent="0.25">
      <c r="B216" s="31"/>
      <c r="C216" s="47"/>
      <c r="D216" s="47"/>
      <c r="E216" s="48"/>
      <c r="F216" s="48"/>
      <c r="J216" s="6"/>
      <c r="K216" s="6"/>
      <c r="L216" s="6"/>
      <c r="M216" s="6"/>
      <c r="N216" s="6"/>
      <c r="O216" s="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row>
    <row r="217" spans="2:51" x14ac:dyDescent="0.25">
      <c r="B217" s="31"/>
      <c r="C217" s="49"/>
      <c r="D217" s="49"/>
      <c r="E217" s="49"/>
      <c r="F217" s="49"/>
      <c r="J217" s="6"/>
      <c r="K217" s="6"/>
      <c r="L217" s="6"/>
      <c r="M217" s="6"/>
      <c r="N217" s="6"/>
      <c r="O217" s="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row>
    <row r="218" spans="2:51" x14ac:dyDescent="0.25">
      <c r="B218" s="31"/>
      <c r="C218" s="49"/>
      <c r="D218" s="49"/>
      <c r="E218" s="49"/>
      <c r="F218" s="49"/>
      <c r="J218" s="6"/>
      <c r="K218" s="6"/>
      <c r="L218" s="6"/>
      <c r="M218" s="6"/>
      <c r="N218" s="6"/>
      <c r="O218" s="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row>
    <row r="219" spans="2:51" x14ac:dyDescent="0.25">
      <c r="B219" s="31"/>
      <c r="C219" s="49"/>
      <c r="D219" s="49"/>
      <c r="E219" s="49"/>
      <c r="F219" s="49"/>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row>
    <row r="220" spans="2:51" x14ac:dyDescent="0.25">
      <c r="B220" s="31"/>
      <c r="C220" s="49"/>
      <c r="D220" s="49"/>
      <c r="E220" s="49"/>
      <c r="F220" s="49"/>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row>
    <row r="221" spans="2:51" x14ac:dyDescent="0.25">
      <c r="B221" s="31"/>
      <c r="C221" s="47"/>
      <c r="D221" s="47"/>
      <c r="E221" s="48"/>
      <c r="F221" s="48"/>
      <c r="J221" s="6"/>
      <c r="K221" s="6"/>
      <c r="L221" s="6"/>
      <c r="M221" s="6"/>
      <c r="N221" s="6"/>
      <c r="O221" s="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row>
    <row r="222" spans="2:51" x14ac:dyDescent="0.25">
      <c r="B222" s="31"/>
      <c r="C222" s="47"/>
      <c r="D222" s="47"/>
      <c r="E222" s="48"/>
      <c r="F222" s="48"/>
      <c r="J222" s="6"/>
      <c r="K222" s="6"/>
      <c r="L222" s="6"/>
      <c r="M222" s="6"/>
      <c r="N222" s="6"/>
      <c r="O222" s="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row>
    <row r="223" spans="2:51" x14ac:dyDescent="0.25">
      <c r="B223" s="31"/>
      <c r="C223" s="47"/>
      <c r="D223" s="47"/>
      <c r="E223" s="48"/>
      <c r="F223" s="48"/>
      <c r="J223" s="6"/>
      <c r="K223" s="6"/>
      <c r="L223" s="6"/>
      <c r="M223" s="6"/>
      <c r="N223" s="6"/>
      <c r="O223" s="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row>
    <row r="224" spans="2:51" x14ac:dyDescent="0.25">
      <c r="B224" s="31"/>
      <c r="C224" s="47"/>
      <c r="D224" s="47"/>
      <c r="E224" s="48"/>
      <c r="F224" s="48"/>
      <c r="J224" s="6"/>
      <c r="K224" s="6"/>
      <c r="L224" s="6"/>
      <c r="M224" s="6"/>
      <c r="N224" s="6"/>
      <c r="O224" s="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row>
    <row r="225" spans="2:51" x14ac:dyDescent="0.25">
      <c r="B225" s="31"/>
      <c r="C225" s="49"/>
      <c r="D225" s="49"/>
      <c r="E225" s="49"/>
      <c r="F225" s="49"/>
      <c r="J225" s="6"/>
      <c r="K225" s="6"/>
      <c r="L225" s="6"/>
      <c r="M225" s="6"/>
      <c r="N225" s="6"/>
      <c r="O225" s="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row>
    <row r="226" spans="2:51" x14ac:dyDescent="0.25">
      <c r="B226" s="31"/>
      <c r="C226" s="49"/>
      <c r="D226" s="49"/>
      <c r="E226" s="49"/>
      <c r="F226" s="49"/>
      <c r="J226" s="6"/>
      <c r="K226" s="6"/>
      <c r="L226" s="6"/>
      <c r="M226" s="6"/>
      <c r="N226" s="6"/>
      <c r="O226" s="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row>
    <row r="227" spans="2:51" x14ac:dyDescent="0.25">
      <c r="B227" s="31"/>
      <c r="C227" s="49"/>
      <c r="D227" s="49"/>
      <c r="E227" s="49"/>
      <c r="F227" s="49"/>
      <c r="J227" s="6"/>
      <c r="K227" s="6"/>
      <c r="L227" s="6"/>
      <c r="M227" s="6"/>
      <c r="N227" s="6"/>
      <c r="O227" s="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row>
    <row r="228" spans="2:51" x14ac:dyDescent="0.25">
      <c r="B228" s="31"/>
      <c r="C228" s="49"/>
      <c r="D228" s="49"/>
      <c r="E228" s="49"/>
      <c r="F228" s="49"/>
      <c r="J228" s="6"/>
      <c r="K228" s="6"/>
      <c r="L228" s="6"/>
      <c r="M228" s="6"/>
      <c r="N228" s="6"/>
      <c r="O228" s="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row>
    <row r="229" spans="2:51" x14ac:dyDescent="0.25">
      <c r="B229" s="31"/>
      <c r="C229" s="47"/>
      <c r="D229" s="47"/>
      <c r="E229" s="48"/>
      <c r="F229" s="48"/>
      <c r="J229" s="6"/>
      <c r="K229" s="6"/>
      <c r="L229" s="6"/>
      <c r="M229" s="6"/>
      <c r="N229" s="6"/>
      <c r="O229" s="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row>
    <row r="230" spans="2:51" x14ac:dyDescent="0.25">
      <c r="B230" s="31"/>
      <c r="C230" s="47"/>
      <c r="D230" s="47"/>
      <c r="E230" s="48"/>
      <c r="F230" s="48"/>
      <c r="J230" s="6"/>
      <c r="K230" s="6"/>
      <c r="L230" s="6"/>
      <c r="M230" s="6"/>
      <c r="N230" s="6"/>
      <c r="O230" s="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row>
    <row r="231" spans="2:51" x14ac:dyDescent="0.25">
      <c r="B231" s="31"/>
      <c r="C231" s="47"/>
      <c r="D231" s="47"/>
      <c r="E231" s="48"/>
      <c r="F231" s="48"/>
      <c r="J231" s="6"/>
      <c r="K231" s="6"/>
      <c r="L231" s="6"/>
      <c r="M231" s="6"/>
      <c r="N231" s="6"/>
      <c r="O231" s="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row>
    <row r="232" spans="2:51" x14ac:dyDescent="0.25">
      <c r="B232" s="31"/>
      <c r="C232" s="47"/>
      <c r="D232" s="47"/>
      <c r="E232" s="48"/>
      <c r="F232" s="48"/>
      <c r="J232" s="6"/>
      <c r="K232" s="6"/>
      <c r="L232" s="6"/>
      <c r="M232" s="6"/>
      <c r="N232" s="6"/>
      <c r="O232" s="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row>
    <row r="233" spans="2:51" x14ac:dyDescent="0.25">
      <c r="B233" s="31"/>
      <c r="C233" s="49"/>
      <c r="D233" s="49"/>
      <c r="E233" s="49"/>
      <c r="F233" s="49"/>
      <c r="J233" s="6"/>
      <c r="K233" s="6"/>
      <c r="L233" s="6"/>
      <c r="M233" s="6"/>
      <c r="N233" s="6"/>
      <c r="O233" s="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row>
    <row r="234" spans="2:51" x14ac:dyDescent="0.25">
      <c r="B234" s="31"/>
      <c r="C234" s="49"/>
      <c r="D234" s="49"/>
      <c r="E234" s="49"/>
      <c r="F234" s="49"/>
      <c r="J234" s="6"/>
      <c r="K234" s="6"/>
      <c r="L234" s="6"/>
      <c r="M234" s="6"/>
      <c r="N234" s="6"/>
      <c r="O234" s="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row>
    <row r="235" spans="2:51" x14ac:dyDescent="0.25">
      <c r="B235" s="31"/>
      <c r="C235" s="49"/>
      <c r="D235" s="49"/>
      <c r="E235" s="49"/>
      <c r="F235" s="49"/>
      <c r="J235" s="6"/>
      <c r="K235" s="6"/>
      <c r="L235" s="6"/>
      <c r="M235" s="6"/>
      <c r="N235" s="6"/>
      <c r="O235" s="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row>
    <row r="236" spans="2:51" x14ac:dyDescent="0.25">
      <c r="B236" s="31"/>
      <c r="C236" s="49"/>
      <c r="D236" s="49"/>
      <c r="E236" s="49"/>
      <c r="F236" s="49"/>
      <c r="J236" s="6"/>
      <c r="K236" s="6"/>
      <c r="L236" s="6"/>
      <c r="M236" s="6"/>
      <c r="N236" s="6"/>
      <c r="O236" s="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row>
    <row r="237" spans="2:51" x14ac:dyDescent="0.25">
      <c r="B237" s="31"/>
      <c r="C237" s="47"/>
      <c r="D237" s="47"/>
      <c r="E237" s="48"/>
      <c r="F237" s="48"/>
      <c r="J237" s="6"/>
      <c r="K237" s="6"/>
      <c r="L237" s="6"/>
      <c r="M237" s="6"/>
      <c r="N237" s="6"/>
      <c r="O237" s="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row>
    <row r="238" spans="2:51" x14ac:dyDescent="0.25">
      <c r="B238" s="31"/>
      <c r="C238" s="47"/>
      <c r="D238" s="47"/>
      <c r="E238" s="48"/>
      <c r="F238" s="48"/>
      <c r="J238" s="6"/>
      <c r="K238" s="6"/>
      <c r="L238" s="6"/>
      <c r="M238" s="6"/>
      <c r="N238" s="6"/>
      <c r="O238" s="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row>
    <row r="239" spans="2:51" x14ac:dyDescent="0.25">
      <c r="B239" s="31"/>
      <c r="C239" s="47"/>
      <c r="D239" s="47"/>
      <c r="E239" s="48"/>
      <c r="F239" s="48"/>
      <c r="J239" s="6"/>
      <c r="K239" s="6"/>
      <c r="L239" s="6"/>
      <c r="M239" s="6"/>
      <c r="N239" s="6"/>
      <c r="O239" s="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row>
    <row r="240" spans="2:51" x14ac:dyDescent="0.25">
      <c r="B240" s="31"/>
      <c r="C240" s="47"/>
      <c r="D240" s="47"/>
      <c r="E240" s="48"/>
      <c r="F240" s="48"/>
      <c r="J240" s="6"/>
      <c r="K240" s="6"/>
      <c r="L240" s="6"/>
      <c r="M240" s="6"/>
      <c r="N240" s="6"/>
      <c r="O240" s="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row>
    <row r="241" spans="2:51" x14ac:dyDescent="0.25">
      <c r="B241" s="31"/>
      <c r="C241" s="47"/>
      <c r="D241" s="47"/>
      <c r="E241" s="48"/>
      <c r="F241" s="48"/>
      <c r="J241" s="6"/>
      <c r="K241" s="6"/>
      <c r="L241" s="6"/>
      <c r="M241" s="6"/>
      <c r="N241" s="6"/>
      <c r="O241" s="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row>
    <row r="242" spans="2:51" x14ac:dyDescent="0.25">
      <c r="B242" s="31"/>
      <c r="C242" s="49"/>
      <c r="D242" s="49"/>
      <c r="E242" s="49"/>
      <c r="F242" s="49"/>
      <c r="J242" s="6"/>
      <c r="K242" s="6"/>
      <c r="L242" s="6"/>
      <c r="M242" s="6"/>
      <c r="N242" s="6"/>
      <c r="O242" s="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row>
    <row r="243" spans="2:51" x14ac:dyDescent="0.25">
      <c r="B243" s="31" t="s">
        <v>151</v>
      </c>
      <c r="C243" s="47"/>
      <c r="D243" s="47"/>
      <c r="E243" s="48"/>
      <c r="F243" s="48"/>
      <c r="N243" s="6"/>
      <c r="O243" s="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row>
    <row r="244" spans="2:51" x14ac:dyDescent="0.25">
      <c r="B244" s="31"/>
      <c r="C244" s="47"/>
      <c r="D244" s="47"/>
      <c r="E244" s="48"/>
      <c r="F244" s="48"/>
      <c r="J244" s="6"/>
      <c r="K244" s="6"/>
      <c r="L244" s="6"/>
      <c r="M244" s="6"/>
      <c r="N244" s="6"/>
      <c r="O244" s="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row>
    <row r="245" spans="2:51" x14ac:dyDescent="0.25">
      <c r="B245" s="31"/>
      <c r="C245" s="47"/>
      <c r="D245" s="47"/>
      <c r="E245" s="48"/>
      <c r="F245" s="48"/>
      <c r="J245" s="6"/>
      <c r="K245" s="6"/>
      <c r="L245" s="6"/>
      <c r="M245" s="6"/>
      <c r="N245" s="6"/>
      <c r="O245" s="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row>
    <row r="246" spans="2:51" x14ac:dyDescent="0.25">
      <c r="B246" s="31"/>
      <c r="C246" s="49"/>
      <c r="D246" s="49"/>
      <c r="E246" s="49"/>
      <c r="F246" s="49"/>
      <c r="J246" s="6"/>
      <c r="K246" s="6"/>
      <c r="L246" s="6"/>
      <c r="M246" s="6"/>
      <c r="N246" s="6"/>
      <c r="O246" s="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row>
    <row r="247" spans="2:51" x14ac:dyDescent="0.25">
      <c r="B247" s="31"/>
      <c r="C247" s="49"/>
      <c r="D247" s="49"/>
      <c r="E247" s="49"/>
      <c r="F247" s="49"/>
      <c r="J247" s="6"/>
      <c r="K247" s="6"/>
      <c r="L247" s="6"/>
      <c r="M247" s="6"/>
      <c r="N247" s="6"/>
      <c r="O247" s="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row>
    <row r="248" spans="2:51" x14ac:dyDescent="0.25">
      <c r="B248" s="31"/>
      <c r="C248" s="49"/>
      <c r="D248" s="49"/>
      <c r="E248" s="49"/>
      <c r="F248" s="49"/>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row>
    <row r="249" spans="2:51" x14ac:dyDescent="0.25">
      <c r="B249" s="31"/>
      <c r="C249" s="49"/>
      <c r="D249" s="49"/>
      <c r="E249" s="49"/>
      <c r="F249" s="49"/>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row>
    <row r="250" spans="2:51" x14ac:dyDescent="0.25">
      <c r="B250" s="31"/>
      <c r="C250" s="47"/>
      <c r="D250" s="47"/>
      <c r="E250" s="48"/>
      <c r="F250" s="48"/>
      <c r="J250" s="6"/>
      <c r="K250" s="6"/>
      <c r="L250" s="6"/>
      <c r="M250" s="6"/>
      <c r="N250" s="6"/>
      <c r="O250" s="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row>
    <row r="251" spans="2:51" x14ac:dyDescent="0.25">
      <c r="B251" s="31"/>
      <c r="C251" s="47"/>
      <c r="D251" s="47"/>
      <c r="E251" s="48"/>
      <c r="F251" s="48"/>
      <c r="J251" s="31"/>
      <c r="K251" s="6"/>
      <c r="L251" s="6"/>
      <c r="M251" s="6"/>
      <c r="N251" s="6"/>
      <c r="O251" s="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row>
    <row r="252" spans="2:51" x14ac:dyDescent="0.25">
      <c r="B252" s="31"/>
      <c r="C252" s="47"/>
      <c r="D252" s="47"/>
      <c r="E252" s="48"/>
      <c r="F252" s="48"/>
      <c r="J252" s="6"/>
      <c r="K252" s="6"/>
      <c r="L252" s="6"/>
      <c r="M252" s="6"/>
      <c r="N252" s="6"/>
      <c r="O252" s="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row>
    <row r="253" spans="2:51" x14ac:dyDescent="0.25">
      <c r="B253" s="31"/>
      <c r="C253" s="47"/>
      <c r="D253" s="47"/>
      <c r="E253" s="48"/>
      <c r="F253" s="48"/>
      <c r="J253" s="6"/>
      <c r="K253" s="6"/>
      <c r="L253" s="6"/>
      <c r="M253" s="6"/>
      <c r="N253" s="6"/>
      <c r="O253" s="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row>
    <row r="254" spans="2:51" x14ac:dyDescent="0.25">
      <c r="B254" s="31"/>
      <c r="C254" s="49"/>
      <c r="D254" s="49"/>
      <c r="E254" s="49"/>
      <c r="F254" s="49"/>
      <c r="J254" s="6"/>
      <c r="K254" s="6"/>
      <c r="L254" s="6"/>
      <c r="M254" s="6"/>
      <c r="N254" s="6"/>
      <c r="O254" s="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row>
    <row r="255" spans="2:51" x14ac:dyDescent="0.25">
      <c r="B255" s="31"/>
      <c r="C255" s="49"/>
      <c r="D255" s="49"/>
      <c r="E255" s="49"/>
      <c r="F255" s="49"/>
      <c r="J255" s="6"/>
      <c r="K255" s="6"/>
      <c r="L255" s="6"/>
      <c r="M255" s="6"/>
      <c r="N255" s="6"/>
      <c r="O255" s="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row>
    <row r="256" spans="2:51" x14ac:dyDescent="0.25">
      <c r="B256" s="31"/>
      <c r="C256" s="49"/>
      <c r="D256" s="49"/>
      <c r="E256" s="49"/>
      <c r="F256" s="49"/>
      <c r="J256" s="6"/>
      <c r="K256" s="6"/>
      <c r="L256" s="6"/>
      <c r="M256" s="6"/>
      <c r="N256" s="6"/>
      <c r="O256" s="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row>
    <row r="257" spans="2:51" x14ac:dyDescent="0.25">
      <c r="B257" s="31"/>
      <c r="C257" s="49"/>
      <c r="D257" s="49"/>
      <c r="E257" s="49"/>
      <c r="F257" s="49"/>
      <c r="J257" s="6"/>
      <c r="K257" s="6"/>
      <c r="L257" s="6"/>
      <c r="M257" s="6"/>
      <c r="N257" s="6"/>
      <c r="O257" s="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row>
    <row r="258" spans="2:51" x14ac:dyDescent="0.25">
      <c r="B258" s="31"/>
      <c r="C258" s="47"/>
      <c r="D258" s="47"/>
      <c r="E258" s="48"/>
      <c r="F258" s="48"/>
      <c r="J258" s="6"/>
      <c r="K258" s="6"/>
      <c r="L258" s="6"/>
      <c r="M258" s="6"/>
      <c r="N258" s="6"/>
      <c r="O258" s="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row>
    <row r="259" spans="2:51" x14ac:dyDescent="0.25">
      <c r="B259" s="31"/>
      <c r="C259" s="47"/>
      <c r="D259" s="47"/>
      <c r="E259" s="48"/>
      <c r="F259" s="48"/>
      <c r="J259" s="6"/>
      <c r="K259" s="6"/>
      <c r="L259" s="6"/>
      <c r="M259" s="6"/>
      <c r="N259" s="6"/>
      <c r="O259" s="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row>
    <row r="260" spans="2:51" x14ac:dyDescent="0.25">
      <c r="B260" s="31"/>
      <c r="C260" s="47"/>
      <c r="D260" s="47"/>
      <c r="E260" s="48"/>
      <c r="F260" s="48"/>
      <c r="J260" s="6"/>
      <c r="K260" s="6"/>
      <c r="L260" s="6"/>
      <c r="M260" s="6"/>
      <c r="N260" s="6"/>
      <c r="O260" s="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row>
    <row r="261" spans="2:51" x14ac:dyDescent="0.25">
      <c r="B261" s="31"/>
      <c r="C261" s="47"/>
      <c r="D261" s="47"/>
      <c r="E261" s="48"/>
      <c r="F261" s="48"/>
      <c r="J261" s="6"/>
      <c r="K261" s="6"/>
      <c r="L261" s="6"/>
      <c r="M261" s="6"/>
      <c r="N261" s="6"/>
      <c r="O261" s="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row>
    <row r="262" spans="2:51" x14ac:dyDescent="0.25">
      <c r="B262" s="31"/>
      <c r="C262" s="49"/>
      <c r="D262" s="49"/>
      <c r="E262" s="49"/>
      <c r="F262" s="49"/>
      <c r="J262" s="6"/>
      <c r="K262" s="6"/>
      <c r="L262" s="6"/>
      <c r="M262" s="6"/>
      <c r="N262" s="6"/>
      <c r="O262" s="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row>
    <row r="263" spans="2:51" x14ac:dyDescent="0.25">
      <c r="B263" s="31"/>
      <c r="C263" s="49"/>
      <c r="D263" s="49"/>
      <c r="E263" s="49"/>
      <c r="F263" s="49"/>
      <c r="J263" s="6"/>
      <c r="K263" s="6"/>
      <c r="L263" s="6"/>
      <c r="M263" s="6"/>
      <c r="N263" s="6"/>
      <c r="O263" s="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row>
    <row r="264" spans="2:51" x14ac:dyDescent="0.25">
      <c r="B264" s="31"/>
      <c r="C264" s="49"/>
      <c r="D264" s="49"/>
      <c r="E264" s="49"/>
      <c r="F264" s="49"/>
      <c r="J264" s="6"/>
      <c r="K264" s="6"/>
      <c r="L264" s="6"/>
      <c r="M264" s="6"/>
      <c r="N264" s="6"/>
      <c r="O264" s="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row>
    <row r="265" spans="2:51" x14ac:dyDescent="0.25">
      <c r="B265" s="31"/>
      <c r="C265" s="49"/>
      <c r="D265" s="49"/>
      <c r="E265" s="49"/>
      <c r="F265" s="49"/>
      <c r="J265" s="6"/>
      <c r="K265" s="6"/>
      <c r="L265" s="6"/>
      <c r="M265" s="6"/>
      <c r="N265" s="6"/>
      <c r="O265" s="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row>
    <row r="266" spans="2:51" x14ac:dyDescent="0.25">
      <c r="B266" s="31"/>
      <c r="C266" s="47"/>
      <c r="D266" s="47"/>
      <c r="E266" s="48"/>
      <c r="F266" s="48"/>
      <c r="J266" s="6"/>
      <c r="K266" s="6"/>
      <c r="L266" s="6"/>
      <c r="M266" s="6"/>
      <c r="N266" s="6"/>
      <c r="O266" s="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row>
    <row r="267" spans="2:51" x14ac:dyDescent="0.25">
      <c r="B267" s="31"/>
      <c r="C267" s="47"/>
      <c r="D267" s="47"/>
      <c r="E267" s="48"/>
      <c r="F267" s="48"/>
      <c r="J267" s="6"/>
      <c r="K267" s="6"/>
      <c r="L267" s="6"/>
      <c r="M267" s="6"/>
      <c r="N267" s="6"/>
      <c r="O267" s="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row>
    <row r="268" spans="2:51" x14ac:dyDescent="0.25">
      <c r="B268" s="31"/>
      <c r="C268" s="47"/>
      <c r="D268" s="47"/>
      <c r="E268" s="48"/>
      <c r="F268" s="48"/>
      <c r="J268" s="6"/>
      <c r="K268" s="6"/>
      <c r="L268" s="6"/>
      <c r="M268" s="6"/>
      <c r="N268" s="6"/>
      <c r="O268" s="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row>
    <row r="269" spans="2:51" x14ac:dyDescent="0.25">
      <c r="B269" s="31"/>
      <c r="C269" s="47"/>
      <c r="D269" s="47"/>
      <c r="E269" s="48"/>
      <c r="F269" s="48"/>
      <c r="J269" s="6"/>
      <c r="K269" s="6"/>
      <c r="L269" s="6"/>
      <c r="M269" s="6"/>
      <c r="N269" s="6"/>
      <c r="O269" s="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row>
    <row r="270" spans="2:51" x14ac:dyDescent="0.25">
      <c r="B270" s="31"/>
      <c r="C270" s="49"/>
      <c r="D270" s="49"/>
      <c r="E270" s="49"/>
      <c r="F270" s="49"/>
      <c r="J270" s="6"/>
      <c r="K270" s="6"/>
      <c r="L270" s="6"/>
      <c r="M270" s="6"/>
      <c r="N270" s="6"/>
      <c r="O270" s="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row>
    <row r="271" spans="2:51" x14ac:dyDescent="0.25">
      <c r="B271" s="31"/>
      <c r="C271" s="50"/>
      <c r="D271" s="50"/>
      <c r="J271" s="6"/>
      <c r="K271" s="6"/>
      <c r="L271" s="6"/>
      <c r="M271" s="6"/>
      <c r="N271" s="6"/>
      <c r="O271" s="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row>
    <row r="272" spans="2:51" x14ac:dyDescent="0.25">
      <c r="B272" s="31" t="s">
        <v>237</v>
      </c>
      <c r="C272" s="47"/>
      <c r="D272" s="47"/>
      <c r="E272" s="48"/>
      <c r="F272" s="48"/>
      <c r="N272" s="6"/>
      <c r="O272" s="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row>
    <row r="273" spans="2:51" x14ac:dyDescent="0.25">
      <c r="B273" s="31"/>
      <c r="C273" s="47"/>
      <c r="D273" s="47"/>
      <c r="E273" s="48"/>
      <c r="F273" s="48"/>
      <c r="J273" s="6"/>
      <c r="K273" s="6"/>
      <c r="L273" s="6"/>
      <c r="M273" s="6"/>
      <c r="N273" s="6"/>
      <c r="O273" s="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row>
    <row r="274" spans="2:51" x14ac:dyDescent="0.25">
      <c r="B274" s="31"/>
      <c r="C274" s="47"/>
      <c r="D274" s="47"/>
      <c r="E274" s="48"/>
      <c r="F274" s="48"/>
      <c r="J274" s="6"/>
      <c r="K274" s="6"/>
      <c r="L274" s="6"/>
      <c r="M274" s="6"/>
      <c r="N274" s="6"/>
      <c r="O274" s="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row>
    <row r="275" spans="2:51" x14ac:dyDescent="0.25">
      <c r="B275" s="31"/>
      <c r="C275" s="49"/>
      <c r="D275" s="49"/>
      <c r="E275" s="49"/>
      <c r="F275" s="49"/>
      <c r="J275" s="6"/>
      <c r="K275" s="6"/>
      <c r="L275" s="6"/>
      <c r="M275" s="6"/>
      <c r="N275" s="6"/>
      <c r="O275" s="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row>
    <row r="276" spans="2:51" x14ac:dyDescent="0.25">
      <c r="B276" s="31"/>
      <c r="C276" s="49"/>
      <c r="D276" s="49"/>
      <c r="E276" s="49"/>
      <c r="F276" s="49"/>
      <c r="J276" s="6"/>
      <c r="K276" s="6"/>
      <c r="L276" s="6"/>
      <c r="M276" s="6"/>
      <c r="N276" s="6"/>
      <c r="O276" s="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row>
    <row r="277" spans="2:51" x14ac:dyDescent="0.25">
      <c r="B277" s="31"/>
      <c r="C277" s="49"/>
      <c r="D277" s="49"/>
      <c r="E277" s="49"/>
      <c r="F277" s="49"/>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row>
    <row r="278" spans="2:51" x14ac:dyDescent="0.25">
      <c r="B278" s="31"/>
      <c r="C278" s="49"/>
      <c r="D278" s="49"/>
      <c r="E278" s="49"/>
      <c r="F278" s="49"/>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row>
    <row r="279" spans="2:51" x14ac:dyDescent="0.25">
      <c r="B279" s="31"/>
      <c r="C279" s="47"/>
      <c r="D279" s="47"/>
      <c r="E279" s="48"/>
      <c r="F279" s="48"/>
      <c r="J279" s="6"/>
      <c r="K279" s="6"/>
      <c r="L279" s="6"/>
      <c r="M279" s="6"/>
      <c r="N279" s="6"/>
      <c r="O279" s="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row>
    <row r="280" spans="2:51" x14ac:dyDescent="0.25">
      <c r="B280" s="31"/>
      <c r="C280" s="47"/>
      <c r="D280" s="47"/>
      <c r="E280" s="48"/>
      <c r="F280" s="48"/>
      <c r="J280" s="31"/>
      <c r="K280" s="6"/>
      <c r="L280" s="6"/>
      <c r="M280" s="6"/>
      <c r="N280" s="6"/>
      <c r="O280" s="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row>
    <row r="281" spans="2:51" x14ac:dyDescent="0.25">
      <c r="B281" s="31"/>
      <c r="C281" s="47"/>
      <c r="D281" s="47"/>
      <c r="E281" s="48"/>
      <c r="F281" s="48"/>
      <c r="J281" s="6"/>
      <c r="K281" s="6"/>
      <c r="L281" s="6"/>
      <c r="M281" s="6"/>
      <c r="N281" s="6"/>
      <c r="O281" s="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row>
    <row r="282" spans="2:51" x14ac:dyDescent="0.25">
      <c r="B282" s="31"/>
      <c r="C282" s="47"/>
      <c r="D282" s="47"/>
      <c r="E282" s="48"/>
      <c r="F282" s="48"/>
      <c r="J282" s="6"/>
      <c r="K282" s="6"/>
      <c r="L282" s="6"/>
      <c r="M282" s="6"/>
      <c r="N282" s="6"/>
      <c r="O282" s="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row>
    <row r="283" spans="2:51" x14ac:dyDescent="0.25">
      <c r="B283" s="31"/>
      <c r="C283" s="49"/>
      <c r="D283" s="49"/>
      <c r="E283" s="49"/>
      <c r="F283" s="49"/>
      <c r="J283" s="6"/>
      <c r="K283" s="6"/>
      <c r="L283" s="6"/>
      <c r="M283" s="6"/>
      <c r="N283" s="6"/>
      <c r="O283" s="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row>
    <row r="284" spans="2:51" x14ac:dyDescent="0.25">
      <c r="B284" s="31"/>
      <c r="C284" s="49"/>
      <c r="D284" s="49"/>
      <c r="E284" s="49"/>
      <c r="F284" s="49"/>
      <c r="J284" s="6"/>
      <c r="K284" s="6"/>
      <c r="L284" s="6"/>
      <c r="M284" s="6"/>
      <c r="N284" s="6"/>
      <c r="O284" s="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row>
    <row r="285" spans="2:51" x14ac:dyDescent="0.25">
      <c r="B285" s="31"/>
      <c r="C285" s="49"/>
      <c r="D285" s="49"/>
      <c r="E285" s="49"/>
      <c r="F285" s="49"/>
      <c r="J285" s="6"/>
      <c r="K285" s="6"/>
      <c r="L285" s="6"/>
      <c r="M285" s="6"/>
      <c r="N285" s="6"/>
      <c r="O285" s="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row>
    <row r="286" spans="2:51" x14ac:dyDescent="0.25">
      <c r="B286" s="31"/>
      <c r="C286" s="49"/>
      <c r="D286" s="49"/>
      <c r="E286" s="49"/>
      <c r="F286" s="49"/>
      <c r="J286" s="6"/>
      <c r="K286" s="6"/>
      <c r="L286" s="6"/>
      <c r="M286" s="6"/>
      <c r="N286" s="6"/>
      <c r="O286" s="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row>
    <row r="287" spans="2:51" x14ac:dyDescent="0.25">
      <c r="B287" s="31"/>
      <c r="C287" s="47"/>
      <c r="D287" s="47"/>
      <c r="E287" s="48"/>
      <c r="F287" s="48"/>
      <c r="J287" s="6"/>
      <c r="K287" s="6"/>
      <c r="L287" s="6"/>
      <c r="M287" s="6"/>
      <c r="N287" s="6"/>
      <c r="O287" s="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row>
    <row r="288" spans="2:51" x14ac:dyDescent="0.25">
      <c r="B288" s="31"/>
      <c r="C288" s="47"/>
      <c r="D288" s="47"/>
      <c r="E288" s="48"/>
      <c r="F288" s="48"/>
      <c r="J288" s="6"/>
      <c r="K288" s="6"/>
      <c r="L288" s="6"/>
      <c r="M288" s="6"/>
      <c r="N288" s="6"/>
      <c r="O288" s="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row>
    <row r="289" spans="2:51" x14ac:dyDescent="0.25">
      <c r="B289" s="31"/>
      <c r="C289" s="47"/>
      <c r="D289" s="47"/>
      <c r="E289" s="48"/>
      <c r="F289" s="48"/>
      <c r="J289" s="6"/>
      <c r="K289" s="6"/>
      <c r="L289" s="6"/>
      <c r="M289" s="6"/>
      <c r="N289" s="6"/>
      <c r="O289" s="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row>
    <row r="290" spans="2:51" x14ac:dyDescent="0.25">
      <c r="B290" s="31"/>
      <c r="C290" s="47"/>
      <c r="D290" s="47"/>
      <c r="E290" s="48"/>
      <c r="F290" s="48"/>
      <c r="J290" s="6"/>
      <c r="K290" s="6"/>
      <c r="L290" s="6"/>
      <c r="M290" s="6"/>
      <c r="N290" s="6"/>
      <c r="O290" s="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row>
    <row r="291" spans="2:51" x14ac:dyDescent="0.25">
      <c r="B291" s="31"/>
      <c r="C291" s="49"/>
      <c r="D291" s="49"/>
      <c r="E291" s="49"/>
      <c r="F291" s="49"/>
      <c r="J291" s="6"/>
      <c r="K291" s="6"/>
      <c r="L291" s="6"/>
      <c r="M291" s="6"/>
      <c r="N291" s="6"/>
      <c r="O291" s="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row>
    <row r="292" spans="2:51" x14ac:dyDescent="0.25">
      <c r="B292" s="31"/>
      <c r="C292" s="49"/>
      <c r="D292" s="49"/>
      <c r="E292" s="49"/>
      <c r="F292" s="49"/>
      <c r="J292" s="6"/>
      <c r="K292" s="6"/>
      <c r="L292" s="6"/>
      <c r="M292" s="6"/>
      <c r="N292" s="6"/>
      <c r="O292" s="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row>
    <row r="293" spans="2:51" x14ac:dyDescent="0.25">
      <c r="B293" s="31"/>
      <c r="C293" s="49"/>
      <c r="D293" s="49"/>
      <c r="E293" s="49"/>
      <c r="F293" s="49"/>
      <c r="J293" s="6"/>
      <c r="K293" s="6"/>
      <c r="L293" s="6"/>
      <c r="M293" s="6"/>
      <c r="N293" s="6"/>
      <c r="O293" s="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row>
    <row r="294" spans="2:51" x14ac:dyDescent="0.25">
      <c r="B294" s="31"/>
      <c r="C294" s="49"/>
      <c r="D294" s="49"/>
      <c r="E294" s="49"/>
      <c r="F294" s="49"/>
      <c r="J294" s="6"/>
      <c r="K294" s="6"/>
      <c r="L294" s="6"/>
      <c r="M294" s="6"/>
      <c r="N294" s="6"/>
      <c r="O294" s="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row>
    <row r="295" spans="2:51" x14ac:dyDescent="0.25">
      <c r="B295" s="31"/>
      <c r="C295" s="47"/>
      <c r="D295" s="47"/>
      <c r="E295" s="48"/>
      <c r="F295" s="48"/>
      <c r="J295" s="6"/>
      <c r="K295" s="6"/>
      <c r="L295" s="6"/>
      <c r="M295" s="6"/>
      <c r="N295" s="6"/>
      <c r="O295" s="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row>
    <row r="296" spans="2:51" x14ac:dyDescent="0.25">
      <c r="B296" s="31"/>
      <c r="C296" s="47"/>
      <c r="D296" s="47"/>
      <c r="E296" s="48"/>
      <c r="F296" s="48"/>
      <c r="J296" s="6"/>
      <c r="K296" s="6"/>
      <c r="L296" s="6"/>
      <c r="M296" s="6"/>
      <c r="N296" s="6"/>
      <c r="O296" s="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row>
    <row r="297" spans="2:51" x14ac:dyDescent="0.25">
      <c r="B297" s="31"/>
      <c r="C297" s="47"/>
      <c r="D297" s="47"/>
      <c r="E297" s="48"/>
      <c r="F297" s="48"/>
      <c r="J297" s="6"/>
      <c r="K297" s="6"/>
      <c r="L297" s="6"/>
      <c r="M297" s="6"/>
      <c r="N297" s="6"/>
      <c r="O297" s="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row>
    <row r="298" spans="2:51" x14ac:dyDescent="0.25">
      <c r="B298" s="31"/>
      <c r="C298" s="47"/>
      <c r="D298" s="47"/>
      <c r="E298" s="48"/>
      <c r="F298" s="48"/>
      <c r="J298" s="6"/>
      <c r="K298" s="6"/>
      <c r="L298" s="6"/>
      <c r="M298" s="6"/>
      <c r="N298" s="6"/>
      <c r="O298" s="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2:51" x14ac:dyDescent="0.25">
      <c r="B299" s="31"/>
      <c r="C299" s="49"/>
      <c r="D299" s="49"/>
      <c r="E299" s="49"/>
      <c r="F299" s="49"/>
      <c r="J299" s="6"/>
      <c r="K299" s="6"/>
      <c r="L299" s="6"/>
      <c r="M299" s="6"/>
      <c r="N299" s="6"/>
      <c r="O299" s="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2:51" x14ac:dyDescent="0.25">
      <c r="B300" s="31"/>
      <c r="C300" s="50"/>
      <c r="D300" s="50"/>
      <c r="J300" s="6"/>
      <c r="K300" s="6"/>
      <c r="L300" s="6"/>
      <c r="M300" s="6"/>
      <c r="N300" s="6"/>
      <c r="O300" s="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row>
    <row r="301" spans="2:51" x14ac:dyDescent="0.25">
      <c r="B301" s="31"/>
      <c r="C301" s="50"/>
      <c r="D301" s="50"/>
      <c r="J301" s="6"/>
      <c r="K301" s="6"/>
      <c r="L301" s="291"/>
      <c r="M301" s="291"/>
      <c r="N301" s="291"/>
      <c r="O301" s="291"/>
      <c r="P301" s="291"/>
      <c r="Q301" s="291"/>
      <c r="R301" s="291"/>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row>
    <row r="302" spans="2:51" x14ac:dyDescent="0.25">
      <c r="C302" s="28"/>
      <c r="L302" s="291"/>
      <c r="M302" s="291"/>
      <c r="N302" s="291"/>
      <c r="O302" s="291"/>
      <c r="P302" s="291"/>
      <c r="Q302" s="291"/>
      <c r="R302" s="291"/>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row>
    <row r="303" spans="2:51" x14ac:dyDescent="0.25">
      <c r="B303" s="30" t="s">
        <v>152</v>
      </c>
      <c r="C303" s="37" t="s">
        <v>129</v>
      </c>
      <c r="D303" s="37" t="s">
        <v>129</v>
      </c>
      <c r="E303" s="37" t="s">
        <v>129</v>
      </c>
      <c r="F303" s="37" t="s">
        <v>139</v>
      </c>
      <c r="G303" s="51" t="s">
        <v>139</v>
      </c>
      <c r="H303" s="51" t="s">
        <v>139</v>
      </c>
      <c r="I303" s="37" t="s">
        <v>130</v>
      </c>
      <c r="J303" s="37" t="s">
        <v>130</v>
      </c>
      <c r="K303" s="37" t="s">
        <v>130</v>
      </c>
      <c r="L303" s="286"/>
      <c r="M303" s="286"/>
      <c r="N303" s="286"/>
      <c r="O303" s="291"/>
      <c r="P303" s="291"/>
      <c r="Q303" s="291"/>
      <c r="R303" s="28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row>
    <row r="304" spans="2:51" x14ac:dyDescent="0.25">
      <c r="B304" s="52"/>
      <c r="C304" s="30">
        <v>2018</v>
      </c>
      <c r="D304" s="30" t="s">
        <v>223</v>
      </c>
      <c r="E304" s="30" t="s">
        <v>224</v>
      </c>
      <c r="F304" s="30">
        <v>2018</v>
      </c>
      <c r="G304" s="30" t="s">
        <v>223</v>
      </c>
      <c r="H304" s="30" t="s">
        <v>224</v>
      </c>
      <c r="I304" s="30">
        <v>2018</v>
      </c>
      <c r="J304" s="30" t="s">
        <v>223</v>
      </c>
      <c r="K304" s="30" t="s">
        <v>224</v>
      </c>
      <c r="L304" s="287"/>
      <c r="M304" s="287"/>
      <c r="N304" s="287"/>
      <c r="O304" s="291"/>
      <c r="P304" s="291"/>
      <c r="Q304" s="291"/>
      <c r="R304" s="287"/>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row>
    <row r="305" spans="2:51" x14ac:dyDescent="0.25">
      <c r="B305" s="53" t="s">
        <v>153</v>
      </c>
      <c r="C305" s="12">
        <f>'2018'!$X$14+'2018'!$X$17+'2018'!$X$18+'2018'!$X$19+'2018'!$X$20+'2018'!$X$21+'2018'!$X$22</f>
        <v>1374.2</v>
      </c>
      <c r="D305" s="12">
        <f>'BAU2030'!$X$14+'BAU2030'!$X$17+'BAU2030'!$X$18+'BAU2030'!$X$19+'BAU2030'!$X$20+'BAU2030'!$X$21+'BAU2030'!$X$22</f>
        <v>1344.2516000000001</v>
      </c>
      <c r="E305" s="12">
        <f>'BAU2050'!$X$14+'BAU2050'!$X$17+'BAU2050'!$X$18+'BAU2050'!$X$19+'BAU2050'!$X$20+'BAU2050'!$X$21+'BAU2050'!$X$22</f>
        <v>1327.5899999999997</v>
      </c>
      <c r="F305" s="12">
        <f>SUM('2018'!$L$14:$V$22)+('2018'!$I$16+'2018'!$I$18)/('2018'!$I$16+'2018'!$I$18+'2018'!$I$24+SUM('2018'!$I$33:$I$71))*SUM('2018'!$L$31:$V$31)</f>
        <v>871</v>
      </c>
      <c r="G305" s="12">
        <f>SUM('BAU2030'!$L$14:$V$22)+('BAU2030'!$I$16+'BAU2030'!$I$18)/('BAU2030'!$I$16+'BAU2030'!$I$18+'BAU2030'!$I$24+SUM('BAU2030'!$I$33:$I$71))*SUM('BAU2030'!$L$31:$V$31)</f>
        <v>1027.73</v>
      </c>
      <c r="H305" s="12">
        <f>SUM('BAU2050'!$L$14:$V$22)+('BAU2050'!$I$16+'BAU2050'!$I$18)/('BAU2050'!$I$16+'BAU2050'!$I$18+'BAU2050'!$I$24+SUM('BAU2050'!$I$33:$I$71))*SUM('BAU2050'!$L$31:$V$31)</f>
        <v>1053.0299999999997</v>
      </c>
      <c r="I305" s="17">
        <f t="shared" ref="I305:K310" si="0">C305-F305</f>
        <v>503.20000000000005</v>
      </c>
      <c r="J305" s="17">
        <f t="shared" si="0"/>
        <v>316.52160000000003</v>
      </c>
      <c r="K305" s="17">
        <f t="shared" si="0"/>
        <v>274.55999999999995</v>
      </c>
      <c r="L305" s="289"/>
      <c r="M305" s="289"/>
      <c r="N305" s="289"/>
      <c r="O305" s="291"/>
      <c r="P305" s="291"/>
      <c r="Q305" s="291"/>
      <c r="R305" s="292"/>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row>
    <row r="306" spans="2:51" x14ac:dyDescent="0.25">
      <c r="B306" s="53" t="s">
        <v>154</v>
      </c>
      <c r="C306" s="12">
        <f>SUM('2018'!$X$32:$X$62)</f>
        <v>2890.4</v>
      </c>
      <c r="D306" s="12">
        <f>SUM('BAU2030'!$X$32:$X$62)</f>
        <v>2708.7283200000002</v>
      </c>
      <c r="E306" s="12">
        <f>SUM('BAU2050'!$X$32:$X$62)</f>
        <v>2543.4737999999998</v>
      </c>
      <c r="F306" s="12">
        <f>SUM('2018'!$L$32:$V$62)+SUM('2018'!$I$33:$I$71)/('2018'!$I$16+'2018'!$I$18+'2018'!$I$24+SUM('2018'!$I$33:$I$71))*SUM('2018'!$L$31:$V$31)</f>
        <v>2688.0000000000005</v>
      </c>
      <c r="G306" s="12">
        <f>SUM('BAU2030'!$L$32:$V$62)+SUM('BAU2030'!$I$33:$I$71)/('BAU2030'!$I$16+'BAU2030'!$I$18+'BAU2030'!$I$24+SUM('BAU2030'!$I$33:$I$71))*SUM('BAU2030'!$L$31:$V$31)</f>
        <v>2617.5120000000002</v>
      </c>
      <c r="H306" s="12">
        <f>SUM('BAU2050'!$L$32:$V$62)+SUM('BAU2050'!$I$33:$I$71)/('BAU2050'!$I$16+'BAU2050'!$I$18+'BAU2050'!$I$24+SUM('BAU2050'!$I$33:$I$71))*SUM('BAU2050'!$L$31:$V$31)</f>
        <v>2457.5400000000004</v>
      </c>
      <c r="I306" s="17">
        <f t="shared" si="0"/>
        <v>202.39999999999964</v>
      </c>
      <c r="J306" s="17">
        <f t="shared" si="0"/>
        <v>91.216319999999996</v>
      </c>
      <c r="K306" s="17">
        <f t="shared" si="0"/>
        <v>85.933799999999337</v>
      </c>
      <c r="L306" s="289"/>
      <c r="M306" s="289"/>
      <c r="N306" s="289"/>
      <c r="O306" s="291"/>
      <c r="P306" s="291"/>
      <c r="Q306" s="291"/>
      <c r="R306" s="292"/>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row>
    <row r="307" spans="2:51" x14ac:dyDescent="0.25">
      <c r="B307" s="53" t="s">
        <v>155</v>
      </c>
      <c r="C307" s="12">
        <f>'2018'!$X$16+'2018'!$X$23+'2018'!$X$24+'2018'!$X$25+SUM('2018'!$X$63:$X$71)</f>
        <v>770.9</v>
      </c>
      <c r="D307" s="12">
        <f>'BAU2030'!$X$16+'BAU2030'!$X$23+'BAU2030'!$X$24+'BAU2030'!$X$25+SUM('BAU2030'!$X$63:$X$71)</f>
        <v>770.9</v>
      </c>
      <c r="E307" s="12">
        <f>'BAU2050'!$X$16+'BAU2050'!$X$23+'BAU2050'!$X$24+'BAU2050'!$X$25+SUM('BAU2050'!$X$63:$X$71)</f>
        <v>770.9</v>
      </c>
      <c r="F307" s="12">
        <f>SUM('2018'!$L$25:$V$25)+SUM('2018'!$M$63:$V$71)+('2018'!$I$24)/('2018'!$I$16+'2018'!$I$18+'2018'!$I$24+SUM('2018'!$I$33:$I$71))*SUM('2018'!$L$31:$V$31)</f>
        <v>1</v>
      </c>
      <c r="G307" s="12">
        <f>SUM('BAU2030'!$L$25:$V$25)+SUM('BAU2030'!$M$63:$V$71)+('BAU2030'!$I$24)/('BAU2030'!$I$16+'BAU2030'!$I$18+'BAU2030'!$I$24+SUM('BAU2030'!$I$33:$I$71))*SUM('BAU2030'!$L$31:$V$31)</f>
        <v>1</v>
      </c>
      <c r="H307" s="12">
        <f>SUM('BAU2050'!$L$25:$V$25)+SUM('BAU2050'!$M$63:$V$71)+('BAU2050'!$I$24)/('BAU2050'!$I$16+'BAU2050'!$I$18+'BAU2050'!$I$24+SUM('BAU2050'!$I$33:$I$71))*SUM('BAU2050'!$L$31:$V$31)</f>
        <v>1</v>
      </c>
      <c r="I307" s="17">
        <f t="shared" si="0"/>
        <v>769.9</v>
      </c>
      <c r="J307" s="17">
        <f t="shared" si="0"/>
        <v>769.9</v>
      </c>
      <c r="K307" s="17">
        <f t="shared" si="0"/>
        <v>769.9</v>
      </c>
      <c r="L307" s="289"/>
      <c r="M307" s="289"/>
      <c r="N307" s="289"/>
      <c r="O307" s="291"/>
      <c r="P307" s="291"/>
      <c r="Q307" s="291"/>
      <c r="R307" s="292"/>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row>
    <row r="308" spans="2:51" x14ac:dyDescent="0.25">
      <c r="B308" s="53" t="s">
        <v>156</v>
      </c>
      <c r="C308" s="12">
        <f>SUM('2018'!$X$72:$X$80)</f>
        <v>3748.8</v>
      </c>
      <c r="D308" s="12">
        <f>SUM('BAU2030'!$X$72:$X$80)</f>
        <v>3444.9960639999999</v>
      </c>
      <c r="E308" s="12">
        <f>SUM('BAU2050'!$X$72:$X$80)</f>
        <v>2188.4249999999997</v>
      </c>
      <c r="F308" s="12">
        <f>SUM('2018'!$P$72:$P$80)</f>
        <v>134.57640000000001</v>
      </c>
      <c r="G308" s="10">
        <f>SUM('BAU2030'!$P$72:$P$80)</f>
        <v>123.12246000000002</v>
      </c>
      <c r="H308" s="10">
        <f>SUM('BAU2050'!$P$72:$P$80)</f>
        <v>53.246280000000006</v>
      </c>
      <c r="I308" s="17">
        <f t="shared" si="0"/>
        <v>3614.2236000000003</v>
      </c>
      <c r="J308" s="17">
        <f t="shared" si="0"/>
        <v>3321.8736039999999</v>
      </c>
      <c r="K308" s="17">
        <f t="shared" si="0"/>
        <v>2135.1787199999999</v>
      </c>
      <c r="L308" s="289"/>
      <c r="M308" s="289"/>
      <c r="N308" s="289"/>
      <c r="O308" s="291"/>
      <c r="P308" s="291"/>
      <c r="Q308" s="291"/>
      <c r="R308" s="292"/>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row>
    <row r="309" spans="2:51" x14ac:dyDescent="0.25">
      <c r="B309" s="53" t="s">
        <v>207</v>
      </c>
      <c r="C309" s="12">
        <f>SUM('2018'!$X$26:$X$29)</f>
        <v>1251.5999999999999</v>
      </c>
      <c r="D309" s="12">
        <f>SUM('BAU2030'!$X$26:$X$29)</f>
        <v>2390.6</v>
      </c>
      <c r="E309" s="12">
        <f>SUM('BAU2050'!$X$26:$X$29)</f>
        <v>1684.3999999999999</v>
      </c>
      <c r="F309" s="12">
        <f>SUM('2018'!$X$26:$X$30)</f>
        <v>1251.5999999999999</v>
      </c>
      <c r="G309" s="10">
        <f>SUM('BAU2030'!$X$26:$X$30)</f>
        <v>2390.6</v>
      </c>
      <c r="H309" s="10">
        <f>SUM('BAU2050'!$X$26:$X$30)</f>
        <v>1684.3999999999999</v>
      </c>
      <c r="I309" s="17">
        <f t="shared" si="0"/>
        <v>0</v>
      </c>
      <c r="J309" s="17">
        <f t="shared" si="0"/>
        <v>0</v>
      </c>
      <c r="K309" s="17">
        <f t="shared" si="0"/>
        <v>0</v>
      </c>
      <c r="L309" s="289"/>
      <c r="M309" s="289"/>
      <c r="N309" s="289"/>
      <c r="O309" s="291"/>
      <c r="P309" s="291"/>
      <c r="Q309" s="291"/>
      <c r="R309" s="292"/>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row>
    <row r="310" spans="2:51" x14ac:dyDescent="0.25">
      <c r="B310" s="53" t="s">
        <v>157</v>
      </c>
      <c r="C310" s="12">
        <f>'2018'!$X$15</f>
        <v>-130.94872402022855</v>
      </c>
      <c r="D310" s="12">
        <f>'BAU2030'!$X$15</f>
        <v>-891.58406646395622</v>
      </c>
      <c r="E310" s="12">
        <f>'BAU2050'!$X$15</f>
        <v>382.89561361760877</v>
      </c>
      <c r="F310" s="12">
        <f>C310*'2018'!$A$87%</f>
        <v>-57.61743856890056</v>
      </c>
      <c r="G310" s="54">
        <f>D310*'BAU2030'!$A$87%</f>
        <v>-392.29698924414072</v>
      </c>
      <c r="H310" s="54">
        <f>E310*'BAU2050'!$A$87%</f>
        <v>382.89561361760877</v>
      </c>
      <c r="I310" s="17">
        <f t="shared" si="0"/>
        <v>-73.331285451328</v>
      </c>
      <c r="J310" s="17">
        <f t="shared" si="0"/>
        <v>-499.2870772198155</v>
      </c>
      <c r="K310" s="17">
        <f t="shared" si="0"/>
        <v>0</v>
      </c>
      <c r="L310" s="292"/>
      <c r="M310" s="292"/>
      <c r="N310" s="292"/>
      <c r="O310" s="291"/>
      <c r="P310" s="291"/>
      <c r="Q310" s="291"/>
      <c r="R310" s="292"/>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row>
    <row r="311" spans="2:51" x14ac:dyDescent="0.25">
      <c r="B311" s="55" t="s">
        <v>147</v>
      </c>
      <c r="C311" s="56">
        <f t="shared" ref="C311:K311" si="1">SUM(C305:C310)</f>
        <v>9904.9512759797708</v>
      </c>
      <c r="D311" s="56">
        <f t="shared" si="1"/>
        <v>9767.8919175360443</v>
      </c>
      <c r="E311" s="56">
        <f t="shared" si="1"/>
        <v>8897.6844136176078</v>
      </c>
      <c r="F311" s="56">
        <f t="shared" si="1"/>
        <v>4888.5589614310993</v>
      </c>
      <c r="G311" s="57">
        <f t="shared" si="1"/>
        <v>5767.6674707558595</v>
      </c>
      <c r="H311" s="57">
        <f t="shared" si="1"/>
        <v>5632.1118936176081</v>
      </c>
      <c r="I311" s="56">
        <f t="shared" si="1"/>
        <v>5016.3923145486715</v>
      </c>
      <c r="J311" s="56">
        <f t="shared" si="1"/>
        <v>4000.2244467801838</v>
      </c>
      <c r="K311" s="56">
        <f t="shared" si="1"/>
        <v>3265.5725199999993</v>
      </c>
      <c r="L311" s="290"/>
      <c r="M311" s="290"/>
      <c r="N311" s="290"/>
      <c r="O311" s="291"/>
      <c r="P311" s="291"/>
      <c r="Q311" s="291"/>
      <c r="R311" s="290"/>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row>
    <row r="312" spans="2:51" x14ac:dyDescent="0.25">
      <c r="F312" s="16"/>
      <c r="G312" s="16"/>
      <c r="H312" s="103"/>
      <c r="I312" s="28"/>
      <c r="J312" s="28"/>
      <c r="K312" s="28"/>
      <c r="L312" s="293"/>
      <c r="M312" s="293"/>
      <c r="N312" s="293"/>
      <c r="O312" s="293"/>
      <c r="P312" s="293"/>
      <c r="Q312" s="293"/>
      <c r="R312" s="293"/>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row>
    <row r="313" spans="2:51" x14ac:dyDescent="0.25">
      <c r="C313" s="91"/>
      <c r="D313" s="91"/>
      <c r="E313" s="91"/>
      <c r="F313" s="91"/>
      <c r="G313" s="91"/>
      <c r="H313" s="91"/>
      <c r="I313" s="91"/>
      <c r="J313" s="91"/>
      <c r="K313" s="91"/>
      <c r="L313" s="294"/>
      <c r="M313" s="294"/>
      <c r="N313" s="294"/>
      <c r="O313" s="294"/>
      <c r="P313" s="294"/>
      <c r="Q313" s="294"/>
      <c r="R313" s="294"/>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row>
    <row r="314" spans="2:51" x14ac:dyDescent="0.25">
      <c r="B314" s="59" t="s">
        <v>158</v>
      </c>
      <c r="H314" s="104"/>
      <c r="I314" s="104"/>
      <c r="J314" s="104"/>
      <c r="K314" s="104"/>
      <c r="L314" s="104"/>
      <c r="M314" s="104"/>
      <c r="N314" s="104"/>
      <c r="O314" s="104"/>
      <c r="P314" s="104"/>
      <c r="Q314" s="28"/>
      <c r="R314" s="28"/>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row>
    <row r="315" spans="2:51" x14ac:dyDescent="0.25">
      <c r="H315" s="28"/>
      <c r="I315" s="28"/>
      <c r="J315" s="28"/>
      <c r="K315" s="28"/>
      <c r="L315" s="28"/>
      <c r="M315" s="28"/>
      <c r="N315" s="28"/>
      <c r="O315" s="28"/>
      <c r="P315" s="28"/>
      <c r="Q315" s="28"/>
      <c r="R315" s="28"/>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row>
    <row r="316" spans="2:51" x14ac:dyDescent="0.25">
      <c r="H316" s="28"/>
      <c r="I316" s="28"/>
      <c r="J316" s="28"/>
      <c r="K316" s="97"/>
      <c r="L316" s="97"/>
      <c r="M316" s="97"/>
      <c r="N316" s="97"/>
      <c r="O316" s="97"/>
      <c r="P316" s="97"/>
      <c r="Q316" s="28"/>
      <c r="R316" s="28"/>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row>
    <row r="317" spans="2:51" x14ac:dyDescent="0.25">
      <c r="H317" s="28"/>
      <c r="I317" s="28"/>
      <c r="J317" s="105"/>
      <c r="K317" s="98"/>
      <c r="L317" s="98"/>
      <c r="M317" s="98"/>
      <c r="N317" s="98"/>
      <c r="O317" s="98"/>
      <c r="P317" s="98"/>
      <c r="Q317" s="28"/>
      <c r="R317" s="28"/>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row>
    <row r="318" spans="2:51" x14ac:dyDescent="0.25">
      <c r="H318" s="28"/>
      <c r="I318" s="28"/>
      <c r="J318" s="98"/>
      <c r="K318" s="98"/>
      <c r="L318" s="98"/>
      <c r="M318" s="98"/>
      <c r="N318" s="98"/>
      <c r="O318" s="98"/>
      <c r="P318" s="98"/>
      <c r="Q318" s="28"/>
      <c r="R318" s="28"/>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row>
    <row r="319" spans="2:51" x14ac:dyDescent="0.25">
      <c r="H319" s="28"/>
      <c r="I319" s="28"/>
      <c r="J319" s="28"/>
      <c r="K319" s="28"/>
      <c r="L319" s="28"/>
      <c r="M319" s="28"/>
      <c r="N319" s="28"/>
      <c r="O319" s="28"/>
      <c r="P319" s="28"/>
      <c r="Q319" s="28"/>
      <c r="R319" s="28"/>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row>
    <row r="320" spans="2:51" x14ac:dyDescent="0.25">
      <c r="H320" s="28"/>
      <c r="I320" s="28"/>
      <c r="J320" s="28"/>
      <c r="K320" s="28"/>
      <c r="L320" s="28"/>
      <c r="M320" s="28"/>
      <c r="N320" s="28"/>
      <c r="O320" s="28"/>
      <c r="P320" s="28"/>
      <c r="Q320" s="28"/>
      <c r="R320" s="28"/>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row>
    <row r="321" spans="9:51" x14ac:dyDescent="0.25">
      <c r="I321" s="28"/>
      <c r="J321" s="28"/>
      <c r="K321" s="28"/>
      <c r="L321" s="28"/>
      <c r="M321" s="28"/>
      <c r="N321" s="28"/>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row>
    <row r="322" spans="9:51" x14ac:dyDescent="0.25">
      <c r="I322" s="28"/>
      <c r="J322" s="28"/>
      <c r="K322" s="28"/>
      <c r="L322" s="28"/>
      <c r="M322" s="28"/>
      <c r="N322" s="28"/>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row>
    <row r="323" spans="9:51" x14ac:dyDescent="0.25">
      <c r="I323" s="28"/>
      <c r="J323" s="28"/>
      <c r="K323" s="28"/>
      <c r="L323" s="28"/>
      <c r="M323" s="28"/>
      <c r="N323" s="28"/>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row>
    <row r="324" spans="9:51" x14ac:dyDescent="0.25">
      <c r="I324" s="28"/>
      <c r="J324" s="28"/>
      <c r="K324" s="28"/>
      <c r="L324" s="28"/>
      <c r="M324" s="28"/>
      <c r="N324" s="28"/>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row>
    <row r="325" spans="9:51" x14ac:dyDescent="0.25">
      <c r="I325" s="28"/>
      <c r="J325" s="28"/>
      <c r="K325" s="28"/>
      <c r="L325" s="28"/>
      <c r="M325" s="28"/>
      <c r="N325" s="28"/>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row>
    <row r="326" spans="9:51" x14ac:dyDescent="0.25">
      <c r="I326" s="28"/>
      <c r="J326" s="28"/>
      <c r="K326" s="28"/>
      <c r="L326" s="28"/>
      <c r="M326" s="28"/>
      <c r="N326" s="28"/>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row>
    <row r="327" spans="9:51" x14ac:dyDescent="0.25">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row>
    <row r="328" spans="9:51" x14ac:dyDescent="0.25">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row>
    <row r="329" spans="9:51" x14ac:dyDescent="0.25">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row>
    <row r="330" spans="9:51" x14ac:dyDescent="0.25">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row>
    <row r="331" spans="9:51" x14ac:dyDescent="0.25">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row>
    <row r="332" spans="9:51" x14ac:dyDescent="0.25">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9:51" x14ac:dyDescent="0.25">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row>
    <row r="334" spans="9:51" x14ac:dyDescent="0.25">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row>
    <row r="335" spans="9:51" x14ac:dyDescent="0.25">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9:51" x14ac:dyDescent="0.25">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row>
    <row r="337" spans="2:51" x14ac:dyDescent="0.25">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row>
    <row r="338" spans="2:51" x14ac:dyDescent="0.25">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row>
    <row r="339" spans="2:51" x14ac:dyDescent="0.25">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row>
    <row r="340" spans="2:51" x14ac:dyDescent="0.25">
      <c r="C340" s="60"/>
      <c r="D340" s="60"/>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row>
    <row r="341" spans="2:51" x14ac:dyDescent="0.25">
      <c r="C341" s="60"/>
      <c r="D341" s="60"/>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row>
    <row r="342" spans="2:51" x14ac:dyDescent="0.25">
      <c r="C342" s="60"/>
      <c r="D342" s="60"/>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2:51" x14ac:dyDescent="0.25">
      <c r="B343" s="59" t="s">
        <v>239</v>
      </c>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2:51" x14ac:dyDescent="0.25">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row>
    <row r="345" spans="2:51" x14ac:dyDescent="0.25">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row>
    <row r="346" spans="2:51" x14ac:dyDescent="0.25">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row>
    <row r="347" spans="2:51" x14ac:dyDescent="0.25">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row>
    <row r="348" spans="2:51" x14ac:dyDescent="0.25">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row>
    <row r="349" spans="2:51" x14ac:dyDescent="0.25">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row>
    <row r="350" spans="2:51" x14ac:dyDescent="0.25">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row>
    <row r="351" spans="2:51" x14ac:dyDescent="0.25">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row>
    <row r="352" spans="2:51" x14ac:dyDescent="0.25">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row>
    <row r="353" spans="19:51" x14ac:dyDescent="0.25">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row>
    <row r="354" spans="19:51" x14ac:dyDescent="0.25">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row>
    <row r="355" spans="19:51" x14ac:dyDescent="0.25">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row>
    <row r="356" spans="19:51" x14ac:dyDescent="0.25">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row>
    <row r="357" spans="19:51" x14ac:dyDescent="0.25">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row>
    <row r="358" spans="19:51" x14ac:dyDescent="0.25">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row>
    <row r="359" spans="19:51" x14ac:dyDescent="0.25">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row>
    <row r="360" spans="19:51" x14ac:dyDescent="0.25">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row>
    <row r="361" spans="19:51" x14ac:dyDescent="0.25">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row>
    <row r="362" spans="19:51" x14ac:dyDescent="0.25">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row>
    <row r="363" spans="19:51" x14ac:dyDescent="0.25">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row>
    <row r="364" spans="19:51" x14ac:dyDescent="0.25">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row>
    <row r="365" spans="19:51" x14ac:dyDescent="0.25">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row>
    <row r="366" spans="19:51" x14ac:dyDescent="0.25">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row>
    <row r="367" spans="19:51" x14ac:dyDescent="0.25">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row>
    <row r="368" spans="19:51" x14ac:dyDescent="0.25">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row>
    <row r="369" spans="2:51" x14ac:dyDescent="0.25">
      <c r="C369" s="60"/>
      <c r="D369" s="60"/>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row>
    <row r="370" spans="2:51" x14ac:dyDescent="0.25">
      <c r="C370" s="60"/>
      <c r="D370" s="60"/>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row>
    <row r="371" spans="2:51" x14ac:dyDescent="0.25">
      <c r="C371" s="60"/>
      <c r="D371" s="60"/>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row>
    <row r="372" spans="2:51" x14ac:dyDescent="0.25">
      <c r="B372" s="59" t="s">
        <v>159</v>
      </c>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row>
    <row r="373" spans="2:51" x14ac:dyDescent="0.25">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row>
    <row r="374" spans="2:51" x14ac:dyDescent="0.25">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row>
    <row r="375" spans="2:51" x14ac:dyDescent="0.25">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row>
    <row r="376" spans="2:51" x14ac:dyDescent="0.25">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row>
    <row r="377" spans="2:51" x14ac:dyDescent="0.25">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row>
    <row r="378" spans="2:51" x14ac:dyDescent="0.25">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row>
    <row r="379" spans="2:51" x14ac:dyDescent="0.25">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row>
    <row r="380" spans="2:51" x14ac:dyDescent="0.25">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row>
    <row r="381" spans="2:51" x14ac:dyDescent="0.25">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row>
    <row r="382" spans="2:51" x14ac:dyDescent="0.25">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row>
    <row r="383" spans="2:51" x14ac:dyDescent="0.25">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row>
    <row r="384" spans="2:51" x14ac:dyDescent="0.25">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row>
    <row r="385" spans="19:51" x14ac:dyDescent="0.25">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row>
    <row r="386" spans="19:51" x14ac:dyDescent="0.25">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9:51" x14ac:dyDescent="0.25">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9:51" x14ac:dyDescent="0.25">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row>
    <row r="389" spans="19:51" x14ac:dyDescent="0.25">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row>
    <row r="390" spans="19:51" x14ac:dyDescent="0.25">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row>
    <row r="391" spans="19:51" x14ac:dyDescent="0.25">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row>
    <row r="392" spans="19:51" x14ac:dyDescent="0.25">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row>
    <row r="393" spans="19:51" x14ac:dyDescent="0.25">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row>
    <row r="394" spans="19:51" x14ac:dyDescent="0.25">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row>
    <row r="395" spans="19:51" x14ac:dyDescent="0.25">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row>
    <row r="396" spans="19:51" x14ac:dyDescent="0.25">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row>
    <row r="397" spans="19:51" x14ac:dyDescent="0.25">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row>
    <row r="398" spans="19:51" x14ac:dyDescent="0.25">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row>
    <row r="399" spans="19:51" x14ac:dyDescent="0.25">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row>
    <row r="400" spans="19:51" x14ac:dyDescent="0.25">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2:51" x14ac:dyDescent="0.25">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2:51" x14ac:dyDescent="0.25">
      <c r="D402" s="37" t="s">
        <v>129</v>
      </c>
      <c r="E402" s="37" t="s">
        <v>129</v>
      </c>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2:51" x14ac:dyDescent="0.25">
      <c r="B403" s="61" t="s">
        <v>160</v>
      </c>
      <c r="C403" s="62"/>
      <c r="D403" s="37" t="s">
        <v>139</v>
      </c>
      <c r="E403" s="37" t="s">
        <v>130</v>
      </c>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row>
    <row r="404" spans="2:51" x14ac:dyDescent="0.25">
      <c r="B404" s="435" t="s">
        <v>153</v>
      </c>
      <c r="C404" s="30">
        <v>2018</v>
      </c>
      <c r="D404" s="12">
        <f>Grafer!F305</f>
        <v>871</v>
      </c>
      <c r="E404" s="12">
        <f>Grafer!I305</f>
        <v>503.20000000000005</v>
      </c>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row>
    <row r="405" spans="2:51" x14ac:dyDescent="0.25">
      <c r="B405" s="436"/>
      <c r="C405" s="63" t="s">
        <v>240</v>
      </c>
      <c r="D405" s="12">
        <f>Grafer!N305</f>
        <v>0</v>
      </c>
      <c r="E405" s="12">
        <f>Grafer!T305</f>
        <v>0</v>
      </c>
      <c r="G405" s="81"/>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row>
    <row r="406" spans="2:51" x14ac:dyDescent="0.25">
      <c r="B406" s="435" t="s">
        <v>154</v>
      </c>
      <c r="C406" s="30">
        <v>2018</v>
      </c>
      <c r="D406" s="12">
        <f>Grafer!F306</f>
        <v>2688.0000000000005</v>
      </c>
      <c r="E406" s="12">
        <f>Grafer!I306</f>
        <v>202.39999999999964</v>
      </c>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row>
    <row r="407" spans="2:51" x14ac:dyDescent="0.25">
      <c r="B407" s="436"/>
      <c r="C407" s="63" t="s">
        <v>240</v>
      </c>
      <c r="D407" s="12">
        <f>Grafer!N306</f>
        <v>0</v>
      </c>
      <c r="E407" s="12">
        <f>Grafer!T306</f>
        <v>0</v>
      </c>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row>
    <row r="408" spans="2:51" x14ac:dyDescent="0.25">
      <c r="B408" s="435" t="s">
        <v>155</v>
      </c>
      <c r="C408" s="30">
        <v>2018</v>
      </c>
      <c r="D408" s="12">
        <f>Grafer!F307</f>
        <v>1</v>
      </c>
      <c r="E408" s="12">
        <f>Grafer!I307</f>
        <v>769.9</v>
      </c>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row>
    <row r="409" spans="2:51" x14ac:dyDescent="0.25">
      <c r="B409" s="436"/>
      <c r="C409" s="63" t="s">
        <v>240</v>
      </c>
      <c r="D409" s="12">
        <f>Grafer!N307</f>
        <v>0</v>
      </c>
      <c r="E409" s="12">
        <f>Grafer!T307</f>
        <v>0</v>
      </c>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row>
    <row r="410" spans="2:51" x14ac:dyDescent="0.25">
      <c r="B410" s="435" t="s">
        <v>156</v>
      </c>
      <c r="C410" s="30">
        <v>2018</v>
      </c>
      <c r="D410" s="12">
        <f>Grafer!F308</f>
        <v>134.57640000000001</v>
      </c>
      <c r="E410" s="12">
        <f>Grafer!I308</f>
        <v>3614.2236000000003</v>
      </c>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row>
    <row r="411" spans="2:51" x14ac:dyDescent="0.25">
      <c r="B411" s="436"/>
      <c r="C411" s="63" t="s">
        <v>240</v>
      </c>
      <c r="D411" s="12">
        <f>Grafer!N308</f>
        <v>0</v>
      </c>
      <c r="E411" s="12">
        <f>Grafer!T308</f>
        <v>0</v>
      </c>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row>
    <row r="412" spans="2:51" x14ac:dyDescent="0.25">
      <c r="B412" s="435" t="s">
        <v>207</v>
      </c>
      <c r="C412" s="30">
        <v>2018</v>
      </c>
      <c r="D412" s="12">
        <f>Grafer!F309</f>
        <v>1251.5999999999999</v>
      </c>
      <c r="E412" s="12">
        <f>Grafer!I309</f>
        <v>0</v>
      </c>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row>
    <row r="413" spans="2:51" x14ac:dyDescent="0.25">
      <c r="B413" s="436"/>
      <c r="C413" s="63" t="s">
        <v>240</v>
      </c>
      <c r="D413" s="12">
        <f>Grafer!N309</f>
        <v>0</v>
      </c>
      <c r="E413" s="12">
        <f>Grafer!T309</f>
        <v>0</v>
      </c>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row>
    <row r="414" spans="2:51" x14ac:dyDescent="0.25">
      <c r="B414" s="435" t="s">
        <v>157</v>
      </c>
      <c r="C414" s="30">
        <v>2018</v>
      </c>
      <c r="D414" s="12">
        <f>Grafer!F310</f>
        <v>-57.61743856890056</v>
      </c>
      <c r="E414" s="12">
        <f>Grafer!I310</f>
        <v>-73.331285451328</v>
      </c>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2:51" x14ac:dyDescent="0.25">
      <c r="B415" s="436"/>
      <c r="C415" s="63" t="s">
        <v>240</v>
      </c>
      <c r="D415" s="12">
        <f>Grafer!N310</f>
        <v>0</v>
      </c>
      <c r="E415" s="12">
        <f>Grafer!T310</f>
        <v>0</v>
      </c>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row>
    <row r="416" spans="2:51" x14ac:dyDescent="0.25">
      <c r="B416" s="64"/>
      <c r="C416" s="65"/>
      <c r="D416" s="46"/>
      <c r="E416" s="4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row>
    <row r="417" spans="2:51" x14ac:dyDescent="0.25">
      <c r="B417" s="64"/>
      <c r="C417" s="65"/>
      <c r="D417" s="46"/>
      <c r="E417" s="4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row>
    <row r="418" spans="2:51" x14ac:dyDescent="0.25">
      <c r="B418" s="59" t="s">
        <v>160</v>
      </c>
      <c r="C418" s="65"/>
      <c r="D418" s="46"/>
      <c r="E418" s="4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row>
    <row r="419" spans="2:51" x14ac:dyDescent="0.25">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row>
    <row r="420" spans="2:51" x14ac:dyDescent="0.25">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row>
    <row r="421" spans="2:51" x14ac:dyDescent="0.25">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row>
    <row r="422" spans="2:51" x14ac:dyDescent="0.25">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2:51" x14ac:dyDescent="0.25">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2:51" x14ac:dyDescent="0.25">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2:51" x14ac:dyDescent="0.25">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2:51" x14ac:dyDescent="0.25">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2:51" x14ac:dyDescent="0.25">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2:51" x14ac:dyDescent="0.25">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2:51" x14ac:dyDescent="0.25">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2:51" x14ac:dyDescent="0.25">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2:51" x14ac:dyDescent="0.25">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2:51" x14ac:dyDescent="0.25">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row>
    <row r="433" spans="2:51" x14ac:dyDescent="0.25">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row>
    <row r="434" spans="2:51" x14ac:dyDescent="0.25">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row>
    <row r="435" spans="2:51" x14ac:dyDescent="0.25">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row>
    <row r="436" spans="2:51" x14ac:dyDescent="0.25">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row>
    <row r="437" spans="2:51" x14ac:dyDescent="0.25">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row>
    <row r="438" spans="2:51" x14ac:dyDescent="0.25">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row>
    <row r="439" spans="2:51" x14ac:dyDescent="0.25">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row>
    <row r="440" spans="2:51" x14ac:dyDescent="0.25">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row>
    <row r="441" spans="2:51" x14ac:dyDescent="0.25">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row>
    <row r="442" spans="2:51" x14ac:dyDescent="0.25">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row>
    <row r="443" spans="2:51" x14ac:dyDescent="0.25">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row>
    <row r="444" spans="2:51" x14ac:dyDescent="0.25">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row>
    <row r="445" spans="2:51" x14ac:dyDescent="0.25">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row>
    <row r="446" spans="2:51" x14ac:dyDescent="0.25">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row>
    <row r="447" spans="2:51" x14ac:dyDescent="0.25">
      <c r="F447" s="291"/>
      <c r="G447" s="291"/>
      <c r="H447" s="291"/>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row>
    <row r="448" spans="2:51" x14ac:dyDescent="0.25">
      <c r="B448" s="30" t="s">
        <v>161</v>
      </c>
      <c r="C448" s="37" t="s">
        <v>129</v>
      </c>
      <c r="D448" s="37" t="s">
        <v>129</v>
      </c>
      <c r="E448" s="37" t="s">
        <v>129</v>
      </c>
      <c r="F448" s="286"/>
      <c r="G448" s="286"/>
      <c r="H448" s="28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row>
    <row r="449" spans="2:51" x14ac:dyDescent="0.25">
      <c r="B449" s="30"/>
      <c r="C449" s="30">
        <v>2018</v>
      </c>
      <c r="D449" s="30" t="s">
        <v>223</v>
      </c>
      <c r="E449" s="30" t="s">
        <v>224</v>
      </c>
      <c r="F449" s="287"/>
      <c r="G449" s="287"/>
      <c r="H449" s="287"/>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row>
    <row r="450" spans="2:51" x14ac:dyDescent="0.25">
      <c r="B450" s="12" t="s">
        <v>68</v>
      </c>
      <c r="C450" s="12">
        <f>'2018'!$X$72</f>
        <v>1027.7</v>
      </c>
      <c r="D450" s="12">
        <f>'BAU2030'!$X$72</f>
        <v>815.06887000000006</v>
      </c>
      <c r="E450" s="12">
        <f>'BAU2050'!$X$72</f>
        <v>205.54</v>
      </c>
      <c r="F450" s="289"/>
      <c r="G450" s="289"/>
      <c r="H450" s="289"/>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row>
    <row r="451" spans="2:51" x14ac:dyDescent="0.25">
      <c r="B451" s="12" t="s">
        <v>69</v>
      </c>
      <c r="C451" s="12">
        <f>'2018'!$X$73</f>
        <v>813.10000000000014</v>
      </c>
      <c r="D451" s="12">
        <f>'BAU2030'!$X$73</f>
        <v>723.65899999999999</v>
      </c>
      <c r="E451" s="12">
        <f>'BAU2050'!$X$73</f>
        <v>162.62000000000003</v>
      </c>
      <c r="F451" s="289"/>
      <c r="G451" s="289"/>
      <c r="H451" s="289"/>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row>
    <row r="452" spans="2:51" x14ac:dyDescent="0.25">
      <c r="B452" s="12" t="s">
        <v>121</v>
      </c>
      <c r="C452" s="12">
        <f>'2018'!$X$74</f>
        <v>327</v>
      </c>
      <c r="D452" s="12">
        <f>'BAU2030'!$X$74</f>
        <v>291.03000000000003</v>
      </c>
      <c r="E452" s="12">
        <f>'BAU2050'!$X$74</f>
        <v>65.400000000000006</v>
      </c>
      <c r="F452" s="289"/>
      <c r="G452" s="289"/>
      <c r="H452" s="289"/>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row>
    <row r="453" spans="2:51" x14ac:dyDescent="0.25">
      <c r="B453" s="12" t="s">
        <v>9</v>
      </c>
      <c r="C453" s="12">
        <f>'2018'!$X$75</f>
        <v>112.7</v>
      </c>
      <c r="D453" s="12">
        <f>'BAU2030'!$X$75</f>
        <v>119.46200000000002</v>
      </c>
      <c r="E453" s="12">
        <f>'BAU2050'!$X$75</f>
        <v>135.24</v>
      </c>
      <c r="F453" s="289"/>
      <c r="G453" s="289"/>
      <c r="H453" s="289"/>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row>
    <row r="454" spans="2:51" x14ac:dyDescent="0.25">
      <c r="B454" s="12" t="s">
        <v>70</v>
      </c>
      <c r="C454" s="12">
        <f>'2018'!$X$76</f>
        <v>280.3</v>
      </c>
      <c r="D454" s="12">
        <f>'BAU2030'!$X$76</f>
        <v>295.99119400000006</v>
      </c>
      <c r="E454" s="12">
        <f>'BAU2050'!$X$76</f>
        <v>336.36</v>
      </c>
      <c r="F454" s="289"/>
      <c r="G454" s="289"/>
      <c r="H454" s="289"/>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row>
    <row r="455" spans="2:51" x14ac:dyDescent="0.25">
      <c r="B455" s="12" t="s">
        <v>10</v>
      </c>
      <c r="C455" s="12">
        <f>'2018'!$X$77</f>
        <v>266.8</v>
      </c>
      <c r="D455" s="12">
        <f>'BAU2030'!$X$77</f>
        <v>266.8</v>
      </c>
      <c r="E455" s="12">
        <f>'BAU2050'!$X$77</f>
        <v>266.8</v>
      </c>
      <c r="F455" s="289"/>
      <c r="G455" s="289"/>
      <c r="H455" s="289"/>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row>
    <row r="456" spans="2:51" x14ac:dyDescent="0.25">
      <c r="B456" s="12" t="s">
        <v>32</v>
      </c>
      <c r="C456" s="12">
        <f>'2018'!$X$78</f>
        <v>51.5</v>
      </c>
      <c r="D456" s="12">
        <f>'BAU2030'!$X$78</f>
        <v>15.45</v>
      </c>
      <c r="E456" s="12">
        <f>'BAU2050'!$X$78</f>
        <v>0</v>
      </c>
      <c r="F456" s="289"/>
      <c r="G456" s="289"/>
      <c r="H456" s="289"/>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row>
    <row r="457" spans="2:51" x14ac:dyDescent="0.25">
      <c r="B457" s="12" t="s">
        <v>33</v>
      </c>
      <c r="C457" s="12">
        <f>'2018'!$X$79</f>
        <v>761</v>
      </c>
      <c r="D457" s="12">
        <f>'BAU2030'!$X$79</f>
        <v>814.2700000000001</v>
      </c>
      <c r="E457" s="12">
        <f>'BAU2050'!$X$79</f>
        <v>913.2</v>
      </c>
      <c r="F457" s="289"/>
      <c r="G457" s="289"/>
      <c r="H457" s="289"/>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row>
    <row r="458" spans="2:51" x14ac:dyDescent="0.25">
      <c r="B458" s="12" t="s">
        <v>11</v>
      </c>
      <c r="C458" s="12">
        <f>'2018'!$X$80</f>
        <v>108.69999999999999</v>
      </c>
      <c r="D458" s="12">
        <f>'BAU2030'!$X$80</f>
        <v>103.26499999999999</v>
      </c>
      <c r="E458" s="12">
        <f>'BAU2050'!$X$80</f>
        <v>103.26499999999999</v>
      </c>
      <c r="F458" s="289"/>
      <c r="G458" s="289"/>
      <c r="H458" s="289"/>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row>
    <row r="459" spans="2:51" x14ac:dyDescent="0.25">
      <c r="B459" s="55" t="s">
        <v>147</v>
      </c>
      <c r="C459" s="56">
        <f>SUM(C450:C458)</f>
        <v>3748.8</v>
      </c>
      <c r="D459" s="56">
        <f>SUM(D450:D458)</f>
        <v>3444.9960639999999</v>
      </c>
      <c r="E459" s="56">
        <f>SUM(E450:E458)</f>
        <v>2188.4249999999997</v>
      </c>
      <c r="F459" s="290"/>
      <c r="G459" s="290"/>
      <c r="H459" s="290"/>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row>
    <row r="460" spans="2:51" x14ac:dyDescent="0.25">
      <c r="B460" s="50"/>
      <c r="C460" s="50"/>
      <c r="D460" s="50"/>
      <c r="E460" s="50"/>
      <c r="F460" s="290"/>
      <c r="G460" s="291"/>
      <c r="H460" s="291"/>
      <c r="J460" s="46"/>
      <c r="K460" s="46"/>
      <c r="L460" s="4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row>
    <row r="461" spans="2:51" x14ac:dyDescent="0.25">
      <c r="B461" s="50"/>
      <c r="C461" s="50"/>
      <c r="D461" s="50"/>
      <c r="E461" s="50"/>
      <c r="F461" s="50"/>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row>
    <row r="462" spans="2:51" x14ac:dyDescent="0.25">
      <c r="B462" s="50" t="s">
        <v>162</v>
      </c>
      <c r="C462" s="50"/>
      <c r="D462" s="50"/>
      <c r="E462" s="50"/>
      <c r="F462" s="50"/>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row>
    <row r="463" spans="2:51" x14ac:dyDescent="0.25">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row>
    <row r="464" spans="2:51" x14ac:dyDescent="0.25">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row>
    <row r="465" spans="19:51" x14ac:dyDescent="0.25">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row>
    <row r="466" spans="19:51" x14ac:dyDescent="0.25">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row>
    <row r="467" spans="19:51" x14ac:dyDescent="0.25">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row>
    <row r="468" spans="19:51" x14ac:dyDescent="0.25">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row>
    <row r="469" spans="19:51" x14ac:dyDescent="0.25">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row>
    <row r="470" spans="19:51" x14ac:dyDescent="0.25">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row>
    <row r="471" spans="19:51" x14ac:dyDescent="0.25">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row>
    <row r="472" spans="19:51" x14ac:dyDescent="0.25">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row>
    <row r="473" spans="19:51" x14ac:dyDescent="0.25">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row>
    <row r="474" spans="19:51" x14ac:dyDescent="0.25">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row>
    <row r="475" spans="19:51" x14ac:dyDescent="0.25">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row>
    <row r="476" spans="19:51" x14ac:dyDescent="0.25">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row>
    <row r="477" spans="19:51" x14ac:dyDescent="0.25">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row>
    <row r="478" spans="19:51" x14ac:dyDescent="0.25">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row>
    <row r="479" spans="19:51" x14ac:dyDescent="0.25">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row>
    <row r="480" spans="19:51" x14ac:dyDescent="0.25">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row>
    <row r="481" spans="2:51" x14ac:dyDescent="0.25">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row>
    <row r="482" spans="2:51" x14ac:dyDescent="0.25">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row>
    <row r="483" spans="2:51" x14ac:dyDescent="0.25">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row>
    <row r="484" spans="2:51" x14ac:dyDescent="0.25">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row>
    <row r="485" spans="2:51" x14ac:dyDescent="0.25">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row>
    <row r="486" spans="2:51" x14ac:dyDescent="0.25">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row>
    <row r="487" spans="2:51" x14ac:dyDescent="0.25">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row>
    <row r="488" spans="2:51" x14ac:dyDescent="0.25">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row>
    <row r="489" spans="2:51" x14ac:dyDescent="0.25">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row>
    <row r="490" spans="2:51" x14ac:dyDescent="0.25">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row>
    <row r="491" spans="2:51" x14ac:dyDescent="0.25">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row>
    <row r="492" spans="2:51" x14ac:dyDescent="0.25">
      <c r="B492" s="50" t="s">
        <v>238</v>
      </c>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row>
    <row r="493" spans="2:51" x14ac:dyDescent="0.25">
      <c r="C493" s="50"/>
      <c r="D493" s="50"/>
      <c r="J493" s="6"/>
      <c r="K493" s="6"/>
      <c r="L493" s="6"/>
      <c r="M493" s="6"/>
      <c r="N493" s="6"/>
      <c r="O493" s="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row>
    <row r="494" spans="2:51" x14ac:dyDescent="0.25">
      <c r="B494" s="31"/>
      <c r="C494" s="50"/>
      <c r="D494" s="50"/>
      <c r="J494" s="6"/>
      <c r="K494" s="6"/>
      <c r="L494" s="6"/>
      <c r="M494" s="6"/>
      <c r="N494" s="6"/>
      <c r="O494" s="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row>
    <row r="495" spans="2:51" x14ac:dyDescent="0.25">
      <c r="B495" s="31"/>
      <c r="C495" s="50"/>
      <c r="D495" s="50"/>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row>
    <row r="496" spans="2:51" x14ac:dyDescent="0.25">
      <c r="B496" s="31"/>
      <c r="C496" s="50"/>
      <c r="D496" s="50"/>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row>
    <row r="497" spans="2:51" x14ac:dyDescent="0.25">
      <c r="B497" s="31"/>
      <c r="C497" s="50"/>
      <c r="D497" s="50"/>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row>
    <row r="498" spans="2:51" x14ac:dyDescent="0.25">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row>
    <row r="499" spans="2:51" x14ac:dyDescent="0.25">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row>
    <row r="500" spans="2:51" x14ac:dyDescent="0.25">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row>
    <row r="501" spans="2:51" x14ac:dyDescent="0.25">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row>
    <row r="502" spans="2:51" x14ac:dyDescent="0.25">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row>
    <row r="503" spans="2:51" x14ac:dyDescent="0.25">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row>
    <row r="504" spans="2:51" x14ac:dyDescent="0.25">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row>
    <row r="505" spans="2:51" x14ac:dyDescent="0.25">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row>
    <row r="506" spans="2:51" x14ac:dyDescent="0.25">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row>
    <row r="507" spans="2:51" x14ac:dyDescent="0.25">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row>
    <row r="508" spans="2:51" x14ac:dyDescent="0.25">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row>
    <row r="509" spans="2:51" x14ac:dyDescent="0.25">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row>
    <row r="510" spans="2:51" x14ac:dyDescent="0.25">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row>
    <row r="511" spans="2:51" x14ac:dyDescent="0.25">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row>
    <row r="512" spans="2:51" x14ac:dyDescent="0.25">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row>
    <row r="513" spans="2:51" x14ac:dyDescent="0.25">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row>
    <row r="514" spans="2:51" x14ac:dyDescent="0.25">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row>
    <row r="515" spans="2:51" x14ac:dyDescent="0.25">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row>
    <row r="516" spans="2:51" x14ac:dyDescent="0.25">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row>
    <row r="517" spans="2:51" x14ac:dyDescent="0.25">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row>
    <row r="518" spans="2:51" x14ac:dyDescent="0.25">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row>
    <row r="519" spans="2:51" x14ac:dyDescent="0.25">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row>
    <row r="520" spans="2:51" x14ac:dyDescent="0.25">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row>
    <row r="521" spans="2:51" x14ac:dyDescent="0.25">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row>
    <row r="522" spans="2:51" x14ac:dyDescent="0.25">
      <c r="B522" s="50" t="s">
        <v>229</v>
      </c>
      <c r="C522" s="50"/>
      <c r="D522" s="50"/>
      <c r="E522" s="50"/>
      <c r="F522" s="50"/>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row>
    <row r="523" spans="2:51" x14ac:dyDescent="0.25">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row>
    <row r="524" spans="2:51" x14ac:dyDescent="0.25">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row>
    <row r="525" spans="2:51" x14ac:dyDescent="0.25">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row>
    <row r="526" spans="2:51" x14ac:dyDescent="0.25">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row>
    <row r="527" spans="2:51" x14ac:dyDescent="0.25">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row>
    <row r="528" spans="2:51" x14ac:dyDescent="0.25">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row>
    <row r="529" spans="19:51" x14ac:dyDescent="0.25">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row>
    <row r="530" spans="19:51" x14ac:dyDescent="0.25">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row>
    <row r="531" spans="19:51" x14ac:dyDescent="0.25">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row>
    <row r="532" spans="19:51" x14ac:dyDescent="0.25">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row>
    <row r="533" spans="19:51" x14ac:dyDescent="0.25">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row>
    <row r="534" spans="19:51" x14ac:dyDescent="0.25">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row>
    <row r="535" spans="19:51" x14ac:dyDescent="0.25">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row>
    <row r="536" spans="19:51" x14ac:dyDescent="0.25">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row>
    <row r="537" spans="19:51" x14ac:dyDescent="0.25">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row>
    <row r="538" spans="19:51" x14ac:dyDescent="0.25">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row>
    <row r="539" spans="19:51" x14ac:dyDescent="0.25">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row>
    <row r="540" spans="19:51" x14ac:dyDescent="0.25">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row>
    <row r="541" spans="19:51" x14ac:dyDescent="0.25">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row>
    <row r="542" spans="19:51" x14ac:dyDescent="0.25">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row>
    <row r="543" spans="19:51" x14ac:dyDescent="0.25">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row>
    <row r="544" spans="19:51" x14ac:dyDescent="0.25">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row>
    <row r="545" spans="1:51" x14ac:dyDescent="0.25">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row>
    <row r="546" spans="1:51" x14ac:dyDescent="0.25">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row>
    <row r="547" spans="1:51" x14ac:dyDescent="0.25">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row>
    <row r="548" spans="1:51" x14ac:dyDescent="0.25">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row>
    <row r="549" spans="1:51" x14ac:dyDescent="0.25">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row>
    <row r="550" spans="1:51" x14ac:dyDescent="0.25">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row>
    <row r="551" spans="1:51" x14ac:dyDescent="0.25">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row>
    <row r="552" spans="1:51" ht="33.75" customHeight="1" x14ac:dyDescent="0.25">
      <c r="A552" s="26"/>
      <c r="B552" s="66" t="s">
        <v>163</v>
      </c>
      <c r="C552" s="67"/>
      <c r="D552" s="67"/>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row>
    <row r="553" spans="1:51" x14ac:dyDescent="0.25">
      <c r="B553" s="31"/>
      <c r="C553" s="50"/>
      <c r="D553" s="50"/>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row>
    <row r="554" spans="1:51" x14ac:dyDescent="0.25">
      <c r="B554" s="31"/>
      <c r="C554" s="50"/>
      <c r="D554" s="50"/>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row>
    <row r="555" spans="1:51" x14ac:dyDescent="0.25">
      <c r="B555" s="31"/>
      <c r="C555" s="50"/>
      <c r="D555" s="50"/>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row>
    <row r="556" spans="1:51" x14ac:dyDescent="0.25">
      <c r="B556" s="31"/>
      <c r="C556" s="50"/>
      <c r="D556" s="50"/>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row>
    <row r="557" spans="1:51" x14ac:dyDescent="0.25">
      <c r="B557" s="31"/>
      <c r="C557" s="50"/>
      <c r="D557" s="50"/>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row>
    <row r="558" spans="1:51" x14ac:dyDescent="0.25">
      <c r="B558" s="31"/>
      <c r="C558" s="50"/>
      <c r="D558" s="50"/>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row>
    <row r="559" spans="1:51" x14ac:dyDescent="0.25">
      <c r="B559" s="31"/>
      <c r="C559" s="50"/>
      <c r="D559" s="50"/>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row>
    <row r="560" spans="1:51" x14ac:dyDescent="0.25">
      <c r="B560" s="31"/>
      <c r="C560" s="50"/>
      <c r="D560" s="50"/>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row>
    <row r="561" spans="1:51" x14ac:dyDescent="0.25">
      <c r="B561" s="31"/>
      <c r="C561" s="50"/>
      <c r="D561" s="50"/>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row>
    <row r="562" spans="1:51" ht="15.6" x14ac:dyDescent="0.35">
      <c r="B562" s="36" t="s">
        <v>164</v>
      </c>
      <c r="C562" s="37" t="s">
        <v>165</v>
      </c>
      <c r="D562" s="37" t="s">
        <v>165</v>
      </c>
      <c r="E562" s="37" t="s">
        <v>165</v>
      </c>
      <c r="F562" s="286"/>
      <c r="G562" s="286"/>
      <c r="H562" s="286"/>
      <c r="I562" s="16"/>
      <c r="J562" s="16"/>
      <c r="K562" s="16"/>
      <c r="S562" s="26"/>
      <c r="T562" s="26"/>
      <c r="U562" s="38"/>
      <c r="V562" s="38"/>
      <c r="W562" s="38"/>
      <c r="X562" s="38"/>
      <c r="Y562" s="38"/>
      <c r="Z562" s="38"/>
      <c r="AA562" s="38"/>
      <c r="AB562" s="38"/>
      <c r="AC562" s="38"/>
      <c r="AD562" s="38"/>
      <c r="AE562" s="26"/>
      <c r="AF562" s="26"/>
      <c r="AG562" s="26"/>
      <c r="AH562" s="26"/>
      <c r="AI562" s="26"/>
      <c r="AJ562" s="26"/>
      <c r="AK562" s="26"/>
      <c r="AL562" s="26"/>
      <c r="AM562" s="26"/>
      <c r="AN562" s="26"/>
      <c r="AO562" s="26"/>
      <c r="AP562" s="26"/>
      <c r="AQ562" s="26"/>
      <c r="AR562" s="26"/>
      <c r="AS562" s="26"/>
      <c r="AT562" s="26"/>
      <c r="AU562" s="26"/>
      <c r="AV562" s="26"/>
      <c r="AW562" s="26"/>
      <c r="AX562" s="26"/>
      <c r="AY562" s="26"/>
    </row>
    <row r="563" spans="1:51" x14ac:dyDescent="0.25">
      <c r="B563" s="14"/>
      <c r="C563" s="30">
        <v>2018</v>
      </c>
      <c r="D563" s="30" t="s">
        <v>223</v>
      </c>
      <c r="E563" s="30" t="s">
        <v>224</v>
      </c>
      <c r="F563" s="287"/>
      <c r="G563" s="287"/>
      <c r="H563" s="287"/>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row>
    <row r="564" spans="1:51" x14ac:dyDescent="0.25">
      <c r="B564" s="32" t="s">
        <v>34</v>
      </c>
      <c r="C564" s="12">
        <f>'2018'!$A$82</f>
        <v>-16.253355625390768</v>
      </c>
      <c r="D564" s="12">
        <f>'BAU2030'!$A$82</f>
        <v>0</v>
      </c>
      <c r="E564" s="12">
        <f>'BAU2050'!$A$82</f>
        <v>0</v>
      </c>
      <c r="F564" s="289"/>
      <c r="G564" s="289"/>
      <c r="H564" s="289"/>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row>
    <row r="565" spans="1:51" ht="12.75" customHeight="1" x14ac:dyDescent="0.25">
      <c r="A565" s="437" t="s">
        <v>166</v>
      </c>
      <c r="B565" s="32" t="s">
        <v>132</v>
      </c>
      <c r="C565" s="12">
        <f>'2018'!$C$82</f>
        <v>0.88303500000000013</v>
      </c>
      <c r="D565" s="12">
        <f>'BAU2030'!$C$82</f>
        <v>0.84771360000000018</v>
      </c>
      <c r="E565" s="12">
        <f>'BAU2050'!$C$82</f>
        <v>0.79473150000000015</v>
      </c>
      <c r="F565" s="289"/>
      <c r="G565" s="289"/>
      <c r="H565" s="289"/>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row>
    <row r="566" spans="1:51" x14ac:dyDescent="0.25">
      <c r="A566" s="438"/>
      <c r="B566" s="32" t="s">
        <v>133</v>
      </c>
      <c r="C566" s="12">
        <f>'2018'!$I$82+'2018'!$B$82</f>
        <v>73.307799999999986</v>
      </c>
      <c r="D566" s="12">
        <f>'BAU2030'!$I$82+'BAU2030'!$B$82</f>
        <v>62.306362239999999</v>
      </c>
      <c r="E566" s="12">
        <f>'BAU2050'!$I$82+'BAU2050'!$B$82</f>
        <v>62.100676599999986</v>
      </c>
      <c r="F566" s="289"/>
      <c r="G566" s="289"/>
      <c r="H566" s="289"/>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row>
    <row r="567" spans="1:51" x14ac:dyDescent="0.25">
      <c r="A567" s="438"/>
      <c r="B567" s="32" t="s">
        <v>134</v>
      </c>
      <c r="C567" s="12">
        <f>'2018'!$D$82</f>
        <v>7.8840000000000004E-3</v>
      </c>
      <c r="D567" s="12">
        <f>'BAU2030'!$D$82</f>
        <v>7.4898000000000005E-3</v>
      </c>
      <c r="E567" s="12">
        <f>'BAU2050'!$D$82</f>
        <v>7.4898000000000005E-3</v>
      </c>
      <c r="F567" s="289"/>
      <c r="G567" s="289"/>
      <c r="H567" s="289"/>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row>
    <row r="568" spans="1:51" x14ac:dyDescent="0.25">
      <c r="A568" s="438"/>
      <c r="B568" s="32" t="s">
        <v>135</v>
      </c>
      <c r="C568" s="12">
        <f>'2018'!$E$82+'2018'!$F$82</f>
        <v>151.1066902</v>
      </c>
      <c r="D568" s="12">
        <f>'BAU2030'!$E$82+'BAU2030'!$F$82</f>
        <v>133.27485669800001</v>
      </c>
      <c r="E568" s="12">
        <f>'BAU2050'!$E$82+'BAU2050'!$F$82</f>
        <v>78.429304040000005</v>
      </c>
      <c r="F568" s="289"/>
      <c r="G568" s="289"/>
      <c r="H568" s="289"/>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row>
    <row r="569" spans="1:51" x14ac:dyDescent="0.25">
      <c r="A569" s="438"/>
      <c r="B569" s="32" t="s">
        <v>136</v>
      </c>
      <c r="C569" s="12">
        <f>'2018'!$G$82</f>
        <v>54.734400000000001</v>
      </c>
      <c r="D569" s="12">
        <f>'BAU2030'!$G$82</f>
        <v>58.565808000000004</v>
      </c>
      <c r="E569" s="12">
        <f>'BAU2050'!$G$82</f>
        <v>65.681280000000001</v>
      </c>
      <c r="F569" s="289"/>
      <c r="G569" s="289"/>
      <c r="H569" s="289"/>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row>
    <row r="570" spans="1:51" x14ac:dyDescent="0.25">
      <c r="A570" s="438"/>
      <c r="B570" s="32" t="s">
        <v>137</v>
      </c>
      <c r="C570" s="12">
        <f>'2018'!$H$82</f>
        <v>72.7548149</v>
      </c>
      <c r="D570" s="12">
        <f>'BAU2030'!$H$82</f>
        <v>57.492655771000003</v>
      </c>
      <c r="E570" s="12">
        <f>'BAU2050'!$H$82</f>
        <v>14.609362980000002</v>
      </c>
      <c r="F570" s="289"/>
      <c r="G570" s="289"/>
      <c r="H570" s="289"/>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row>
    <row r="571" spans="1:51" x14ac:dyDescent="0.25">
      <c r="A571" s="439"/>
      <c r="B571" s="32" t="s">
        <v>138</v>
      </c>
      <c r="C571" s="12">
        <f>'2018'!$W$82</f>
        <v>0</v>
      </c>
      <c r="D571" s="12">
        <f>'BAU2030'!$W$82</f>
        <v>0</v>
      </c>
      <c r="E571" s="12">
        <f>'BAU2050'!$W$82</f>
        <v>0</v>
      </c>
      <c r="F571" s="289"/>
      <c r="G571" s="289"/>
      <c r="H571" s="289"/>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row>
    <row r="572" spans="1:51" ht="12.75" customHeight="1" x14ac:dyDescent="0.25">
      <c r="A572" s="437" t="s">
        <v>139</v>
      </c>
      <c r="B572" s="32" t="s">
        <v>140</v>
      </c>
      <c r="C572" s="12">
        <f>'2018'!$U$82</f>
        <v>0</v>
      </c>
      <c r="D572" s="12">
        <f>'BAU2030'!$U$82</f>
        <v>0</v>
      </c>
      <c r="E572" s="12">
        <f>'BAU2050'!$U$82</f>
        <v>0</v>
      </c>
      <c r="F572" s="289"/>
      <c r="G572" s="289"/>
      <c r="H572" s="289"/>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row>
    <row r="573" spans="1:51" x14ac:dyDescent="0.25">
      <c r="A573" s="438"/>
      <c r="B573" s="32" t="s">
        <v>141</v>
      </c>
      <c r="C573" s="12">
        <f>'2018'!$P$82+'2018'!$Q$82+'2018'!$R$82+'2018'!$S$82</f>
        <v>0</v>
      </c>
      <c r="D573" s="12">
        <f>'BAU2030'!$P$82+'BAU2030'!$Q$82+'BAU2030'!$R$82+'BAU2030'!$S$82</f>
        <v>0</v>
      </c>
      <c r="E573" s="12">
        <f>'BAU2050'!$P$82+'BAU2050'!$Q$82+'BAU2050'!$R$82+'BAU2050'!$S$82</f>
        <v>0</v>
      </c>
      <c r="F573" s="289"/>
      <c r="G573" s="289"/>
      <c r="H573" s="289"/>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row>
    <row r="574" spans="1:51" x14ac:dyDescent="0.25">
      <c r="A574" s="438"/>
      <c r="B574" s="32" t="s">
        <v>142</v>
      </c>
      <c r="C574" s="12">
        <f>'2018'!$J$82</f>
        <v>0</v>
      </c>
      <c r="D574" s="12">
        <f>'BAU2030'!$J$82</f>
        <v>0</v>
      </c>
      <c r="E574" s="12">
        <f>'BAU2050'!$J$82</f>
        <v>0</v>
      </c>
      <c r="F574" s="289"/>
      <c r="G574" s="289"/>
      <c r="H574" s="289"/>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row>
    <row r="575" spans="1:51" x14ac:dyDescent="0.25">
      <c r="A575" s="438"/>
      <c r="B575" s="32" t="s">
        <v>143</v>
      </c>
      <c r="C575" s="12">
        <f>'2018'!$O$82+'2018'!$T$82+'2018'!$V$82</f>
        <v>0</v>
      </c>
      <c r="D575" s="12">
        <f>'BAU2030'!$O$82+'BAU2030'!$T$82+'BAU2030'!$V$82</f>
        <v>0</v>
      </c>
      <c r="E575" s="12">
        <f>'BAU2050'!$O$82+'BAU2050'!$T$82+'BAU2050'!$V$82</f>
        <v>0</v>
      </c>
      <c r="F575" s="289"/>
      <c r="G575" s="289"/>
      <c r="H575" s="289"/>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row>
    <row r="576" spans="1:51" x14ac:dyDescent="0.25">
      <c r="A576" s="438"/>
      <c r="B576" s="32" t="s">
        <v>144</v>
      </c>
      <c r="C576" s="12">
        <f>'2018'!$L$82</f>
        <v>0</v>
      </c>
      <c r="D576" s="12">
        <f>'BAU2030'!$L$82</f>
        <v>0</v>
      </c>
      <c r="E576" s="12">
        <f>'BAU2050'!$L$82</f>
        <v>0</v>
      </c>
      <c r="F576" s="289"/>
      <c r="G576" s="289"/>
      <c r="H576" s="289"/>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row>
    <row r="577" spans="1:51" x14ac:dyDescent="0.25">
      <c r="A577" s="439"/>
      <c r="B577" s="32" t="s">
        <v>145</v>
      </c>
      <c r="C577" s="12">
        <f>'2018'!$K$82+'2018'!$M$82+'2018'!$N$82</f>
        <v>0</v>
      </c>
      <c r="D577" s="12">
        <f>'BAU2030'!$K$82+'BAU2030'!$M$82+'BAU2030'!$N$82</f>
        <v>0</v>
      </c>
      <c r="E577" s="12">
        <f>'BAU2050'!$K$82+'BAU2050'!$M$82+'BAU2050'!$N$82</f>
        <v>0</v>
      </c>
      <c r="F577" s="289"/>
      <c r="G577" s="289"/>
      <c r="H577" s="289"/>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row>
    <row r="578" spans="1:51" x14ac:dyDescent="0.25">
      <c r="B578" s="55" t="s">
        <v>147</v>
      </c>
      <c r="C578" s="56">
        <f>SUM(C564:C577)</f>
        <v>336.54126847460918</v>
      </c>
      <c r="D578" s="56">
        <f>SUM(D564:D577)</f>
        <v>312.49488610899999</v>
      </c>
      <c r="E578" s="56">
        <f>SUM(E564:E577)</f>
        <v>221.62284492000003</v>
      </c>
      <c r="F578" s="290"/>
      <c r="G578" s="290"/>
      <c r="H578" s="290"/>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row>
    <row r="579" spans="1:51" x14ac:dyDescent="0.25">
      <c r="B579" s="31"/>
      <c r="C579" s="50"/>
      <c r="D579" s="50"/>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row>
    <row r="580" spans="1:51" x14ac:dyDescent="0.25">
      <c r="B580" s="31"/>
      <c r="C580" s="50"/>
      <c r="D580" s="50"/>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row>
    <row r="581" spans="1:51" ht="15.6" x14ac:dyDescent="0.35">
      <c r="B581" s="31" t="s">
        <v>164</v>
      </c>
      <c r="C581" s="50"/>
      <c r="D581" s="50"/>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row>
    <row r="582" spans="1:51" x14ac:dyDescent="0.25">
      <c r="B582" s="31"/>
      <c r="C582" s="50"/>
      <c r="D582" s="50"/>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row>
    <row r="583" spans="1:51" x14ac:dyDescent="0.25">
      <c r="B583" s="31"/>
      <c r="C583" s="50"/>
      <c r="D583" s="50"/>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row>
    <row r="584" spans="1:51" x14ac:dyDescent="0.25">
      <c r="B584" s="31"/>
      <c r="C584" s="50"/>
      <c r="D584" s="50"/>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row>
    <row r="585" spans="1:51" x14ac:dyDescent="0.25">
      <c r="B585" s="31"/>
      <c r="C585" s="50"/>
      <c r="D585" s="50"/>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row>
    <row r="586" spans="1:51" x14ac:dyDescent="0.25">
      <c r="B586" s="31"/>
      <c r="C586" s="50"/>
      <c r="D586" s="50"/>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row>
    <row r="587" spans="1:51" x14ac:dyDescent="0.25">
      <c r="B587" s="31"/>
      <c r="C587" s="50"/>
      <c r="D587" s="50"/>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row>
    <row r="588" spans="1:51" x14ac:dyDescent="0.25">
      <c r="B588" s="31"/>
      <c r="C588" s="50"/>
      <c r="D588" s="50"/>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row>
    <row r="589" spans="1:51" x14ac:dyDescent="0.25">
      <c r="B589" s="31"/>
      <c r="C589" s="50"/>
      <c r="D589" s="50"/>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row>
    <row r="590" spans="1:51" x14ac:dyDescent="0.25">
      <c r="B590" s="31"/>
      <c r="C590" s="50"/>
      <c r="D590" s="50"/>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row>
    <row r="591" spans="1:51" x14ac:dyDescent="0.25">
      <c r="B591" s="31"/>
      <c r="C591" s="50"/>
      <c r="D591" s="50"/>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row>
    <row r="592" spans="1:51" x14ac:dyDescent="0.25">
      <c r="B592" s="31"/>
      <c r="C592" s="50"/>
      <c r="D592" s="50"/>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row>
    <row r="593" spans="2:51" x14ac:dyDescent="0.25">
      <c r="B593" s="31"/>
      <c r="C593" s="50"/>
      <c r="D593" s="50"/>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row>
    <row r="594" spans="2:51" x14ac:dyDescent="0.25">
      <c r="B594" s="31"/>
      <c r="C594" s="50"/>
      <c r="D594" s="50"/>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row>
    <row r="595" spans="2:51" x14ac:dyDescent="0.25">
      <c r="B595" s="31"/>
      <c r="C595" s="50"/>
      <c r="D595" s="50"/>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row>
    <row r="596" spans="2:51" x14ac:dyDescent="0.25">
      <c r="B596" s="31"/>
      <c r="C596" s="50"/>
      <c r="D596" s="50"/>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row>
    <row r="597" spans="2:51" x14ac:dyDescent="0.25">
      <c r="B597" s="31"/>
      <c r="C597" s="50"/>
      <c r="D597" s="50"/>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row>
    <row r="598" spans="2:51" x14ac:dyDescent="0.25">
      <c r="B598" s="31"/>
      <c r="C598" s="50"/>
      <c r="D598" s="50"/>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row>
    <row r="599" spans="2:51" x14ac:dyDescent="0.25">
      <c r="B599" s="31"/>
      <c r="C599" s="50"/>
      <c r="D599" s="50"/>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row>
    <row r="600" spans="2:51" x14ac:dyDescent="0.25">
      <c r="B600" s="31"/>
      <c r="C600" s="50"/>
      <c r="D600" s="50"/>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row>
    <row r="601" spans="2:51" x14ac:dyDescent="0.25">
      <c r="B601" s="31"/>
      <c r="C601" s="50"/>
      <c r="D601" s="50"/>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row>
    <row r="602" spans="2:51" x14ac:dyDescent="0.25">
      <c r="B602" s="31"/>
      <c r="C602" s="50"/>
      <c r="D602" s="50"/>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row>
    <row r="603" spans="2:51" x14ac:dyDescent="0.25">
      <c r="B603" s="31"/>
      <c r="C603" s="50"/>
      <c r="D603" s="50"/>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row>
    <row r="604" spans="2:51" x14ac:dyDescent="0.25">
      <c r="B604" s="31"/>
      <c r="C604" s="50"/>
      <c r="D604" s="50"/>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row>
    <row r="605" spans="2:51" x14ac:dyDescent="0.25">
      <c r="B605" s="31"/>
      <c r="C605" s="50"/>
      <c r="D605" s="50"/>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row>
    <row r="606" spans="2:51" x14ac:dyDescent="0.25">
      <c r="B606" s="31"/>
      <c r="C606" s="50"/>
      <c r="D606" s="50"/>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row>
    <row r="607" spans="2:51" x14ac:dyDescent="0.25">
      <c r="B607" s="31"/>
      <c r="C607" s="50"/>
      <c r="D607" s="50"/>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row>
    <row r="608" spans="2:51" x14ac:dyDescent="0.25">
      <c r="B608" s="31"/>
      <c r="C608" s="50"/>
      <c r="D608" s="50"/>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row>
    <row r="609" spans="2:51" x14ac:dyDescent="0.25">
      <c r="B609" s="31"/>
      <c r="C609" s="50"/>
      <c r="D609" s="50"/>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row>
    <row r="610" spans="2:51" x14ac:dyDescent="0.25">
      <c r="B610" s="31"/>
      <c r="C610" s="50"/>
      <c r="D610" s="50"/>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row>
    <row r="611" spans="2:51" ht="15.6" x14ac:dyDescent="0.35">
      <c r="B611" s="31" t="s">
        <v>230</v>
      </c>
      <c r="C611" s="50"/>
      <c r="D611" s="50"/>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row>
    <row r="612" spans="2:51" x14ac:dyDescent="0.25">
      <c r="C612" s="50"/>
      <c r="D612" s="50"/>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row>
    <row r="613" spans="2:51" x14ac:dyDescent="0.25">
      <c r="B613" s="31"/>
      <c r="C613" s="50"/>
      <c r="D613" s="50"/>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row>
    <row r="614" spans="2:51" x14ac:dyDescent="0.25">
      <c r="B614" s="31"/>
      <c r="C614" s="50"/>
      <c r="D614" s="50"/>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row>
    <row r="615" spans="2:51" x14ac:dyDescent="0.25">
      <c r="B615" s="31"/>
      <c r="C615" s="50"/>
      <c r="D615" s="50"/>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row>
    <row r="616" spans="2:51" x14ac:dyDescent="0.25">
      <c r="B616" s="31"/>
      <c r="C616" s="50"/>
      <c r="D616" s="50"/>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row>
    <row r="617" spans="2:51" x14ac:dyDescent="0.25">
      <c r="B617" s="31"/>
      <c r="C617" s="50"/>
      <c r="D617" s="50"/>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row>
    <row r="618" spans="2:51" x14ac:dyDescent="0.25">
      <c r="B618" s="31"/>
      <c r="C618" s="50"/>
      <c r="D618" s="50"/>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row>
    <row r="619" spans="2:51" x14ac:dyDescent="0.25">
      <c r="B619" s="31"/>
      <c r="C619" s="50"/>
      <c r="D619" s="50"/>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row>
    <row r="620" spans="2:51" x14ac:dyDescent="0.25">
      <c r="B620" s="31"/>
      <c r="C620" s="50"/>
      <c r="D620" s="50"/>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row>
    <row r="621" spans="2:51" x14ac:dyDescent="0.25">
      <c r="B621" s="31"/>
      <c r="C621" s="50"/>
      <c r="D621" s="50"/>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row>
    <row r="622" spans="2:51" x14ac:dyDescent="0.25">
      <c r="B622" s="31"/>
      <c r="C622" s="50"/>
      <c r="D622" s="50"/>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row>
    <row r="623" spans="2:51" x14ac:dyDescent="0.25">
      <c r="B623" s="31"/>
      <c r="C623" s="50"/>
      <c r="D623" s="50"/>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row>
    <row r="624" spans="2:51" x14ac:dyDescent="0.25">
      <c r="B624" s="31"/>
      <c r="C624" s="50"/>
      <c r="D624" s="50"/>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row>
    <row r="625" spans="2:51" x14ac:dyDescent="0.25">
      <c r="B625" s="31"/>
      <c r="C625" s="50"/>
      <c r="D625" s="50"/>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row>
    <row r="626" spans="2:51" x14ac:dyDescent="0.25">
      <c r="B626" s="31"/>
      <c r="C626" s="50"/>
      <c r="D626" s="50"/>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row>
    <row r="627" spans="2:51" x14ac:dyDescent="0.25">
      <c r="B627" s="31"/>
      <c r="C627" s="50"/>
      <c r="D627" s="50"/>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row>
    <row r="628" spans="2:51" x14ac:dyDescent="0.25">
      <c r="B628" s="31"/>
      <c r="C628" s="50"/>
      <c r="D628" s="50"/>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row>
    <row r="629" spans="2:51" x14ac:dyDescent="0.25">
      <c r="B629" s="31"/>
      <c r="C629" s="50"/>
      <c r="D629" s="50"/>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row>
    <row r="630" spans="2:51" x14ac:dyDescent="0.25">
      <c r="B630" s="31"/>
      <c r="C630" s="50"/>
      <c r="D630" s="50"/>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row>
    <row r="631" spans="2:51" x14ac:dyDescent="0.25">
      <c r="B631" s="31"/>
      <c r="C631" s="50"/>
      <c r="D631" s="50"/>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row>
    <row r="632" spans="2:51" x14ac:dyDescent="0.25">
      <c r="B632" s="31"/>
      <c r="C632" s="50"/>
      <c r="D632" s="50"/>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row>
    <row r="633" spans="2:51" x14ac:dyDescent="0.25">
      <c r="B633" s="31"/>
      <c r="C633" s="50"/>
      <c r="D633" s="50"/>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row>
    <row r="634" spans="2:51" x14ac:dyDescent="0.25">
      <c r="B634" s="31"/>
      <c r="C634" s="50"/>
      <c r="D634" s="50"/>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row>
    <row r="635" spans="2:51" x14ac:dyDescent="0.25">
      <c r="B635" s="31"/>
      <c r="C635" s="50"/>
      <c r="D635" s="50"/>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row>
    <row r="636" spans="2:51" x14ac:dyDescent="0.25">
      <c r="B636" s="31"/>
      <c r="C636" s="50"/>
      <c r="D636" s="50"/>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row>
    <row r="637" spans="2:51" x14ac:dyDescent="0.25">
      <c r="B637" s="31"/>
      <c r="C637" s="50"/>
      <c r="D637" s="50"/>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row>
    <row r="638" spans="2:51" x14ac:dyDescent="0.25">
      <c r="B638" s="31"/>
      <c r="C638" s="50"/>
      <c r="D638" s="50"/>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row>
    <row r="639" spans="2:51" x14ac:dyDescent="0.25">
      <c r="B639" s="31"/>
      <c r="C639" s="50"/>
      <c r="D639" s="50"/>
      <c r="J639" s="35"/>
      <c r="K639" s="35"/>
      <c r="L639" s="35"/>
      <c r="M639" s="35"/>
      <c r="N639" s="35"/>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row>
    <row r="640" spans="2:51" x14ac:dyDescent="0.25">
      <c r="B640" s="31"/>
      <c r="C640" s="50"/>
      <c r="D640" s="50"/>
      <c r="J640" s="35"/>
      <c r="K640" s="35"/>
      <c r="L640" s="35"/>
      <c r="M640" s="35"/>
      <c r="N640" s="35"/>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row>
    <row r="641" spans="2:51" ht="15.6" x14ac:dyDescent="0.35">
      <c r="B641" s="30" t="s">
        <v>167</v>
      </c>
      <c r="C641" s="37" t="s">
        <v>165</v>
      </c>
      <c r="D641" s="37" t="s">
        <v>165</v>
      </c>
      <c r="E641" s="37" t="s">
        <v>165</v>
      </c>
      <c r="F641" s="286"/>
      <c r="G641" s="286"/>
      <c r="H641" s="28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row>
    <row r="642" spans="2:51" x14ac:dyDescent="0.25">
      <c r="B642" s="14"/>
      <c r="C642" s="30">
        <v>2018</v>
      </c>
      <c r="D642" s="30" t="s">
        <v>223</v>
      </c>
      <c r="E642" s="30" t="s">
        <v>224</v>
      </c>
      <c r="F642" s="287"/>
      <c r="G642" s="287"/>
      <c r="H642" s="287"/>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row>
    <row r="643" spans="2:51" x14ac:dyDescent="0.25">
      <c r="B643" s="32" t="s">
        <v>153</v>
      </c>
      <c r="C643" s="68">
        <f>('2018'!$X$17*'2018'!$E$89+(IF(SUM('2018'!$I$33:$I$71)=0,0,'2018'!$X$18-('2018'!$I$16+'2018'!$I$18)/('2018'!$I$16+'2018'!$I$18+'2018'!$I$24+SUM('2018'!$I$33:$I$71))*SUM('2018'!$L$31:$V$31)))*'2018'!$I$89)/1000</f>
        <v>31.159299999999998</v>
      </c>
      <c r="D643" s="68">
        <f>('BAU2030'!$X$17*'BAU2030'!$E$89+(IF(SUM('BAU2030'!$I$33:$I$71)=0,0,'BAU2030'!$X$18-('BAU2030'!$I$16+'BAU2030'!$I$18)/('BAU2030'!$I$16+'BAU2030'!$I$18+'BAU2030'!$I$24+SUM('BAU2030'!$I$33:$I$71))*SUM('BAU2030'!$L$31:$V$31)))*'BAU2030'!$I$89)/1000</f>
        <v>18.755078399999999</v>
      </c>
      <c r="E643" s="68">
        <f>('BAU2050'!$X$17*'BAU2050'!$E$89+(IF(SUM('BAU2050'!$I$33:$I$71)=0,0,'BAU2050'!$X$18-('BAU2050'!$I$16+'BAU2050'!$I$18)/('BAU2050'!$I$16+'BAU2050'!$I$18+'BAU2050'!$I$24+SUM('BAU2050'!$I$33:$I$71))*SUM('BAU2050'!$L$31:$V$31)))*'BAU2050'!$I$89)/1000</f>
        <v>15.64992</v>
      </c>
      <c r="F643" s="295"/>
      <c r="G643" s="295"/>
      <c r="H643" s="295"/>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row>
    <row r="644" spans="2:51" x14ac:dyDescent="0.25">
      <c r="B644" s="32" t="s">
        <v>154</v>
      </c>
      <c r="C644" s="12">
        <f>(SUM('2018'!$B$33:$B$62)*'2018'!$B$89+SUM('2018'!$C$33:$C$62)*'2018'!$C$89+SUM('2018'!$D$33:$D$62)*'2018'!$D$89+SUM('2018'!$E$33:$E$62)*'2018'!$E$89+SUM('2018'!$F$33:$F$62)*'2018'!$F$89+SUM('2018'!$G$33:$G$62)*'2018'!$G$89+SUM('2018'!$H$33:$H$62)*'2018'!$H$89+(IF(SUM('2018'!$I$33:$I$71)=0,0,SUM('2018'!$I$33:$I$62)-SUM('2018'!$I$33:$I$71)/('2018'!$I$16+'2018'!$I$18+'2018'!$I$24+SUM('2018'!$I$33:$I$71))*SUM('2018'!$L$31:$V$31)))*'2018'!$I$89+SUM('2018'!$W$33:$W$62)*'2018'!$W$89)/1000</f>
        <v>12.205934999999998</v>
      </c>
      <c r="D644" s="12">
        <f>(SUM('BAU2030'!$B$33:$B$62)*'BAU2030'!$B$89+SUM('BAU2030'!$C$33:$C$62)*'BAU2030'!$C$89+SUM('BAU2030'!$D$33:$D$62)*'BAU2030'!$D$89+SUM('BAU2030'!$E$33:$E$62)*'BAU2030'!$E$89+SUM('BAU2030'!$F$33:$F$62)*'BAU2030'!$F$89+SUM('BAU2030'!$G$33:$G$62)*'BAU2030'!$G$89+SUM('BAU2030'!$H$33:$H$62)*'BAU2030'!$H$89+(IF(SUM('BAU2030'!$I$33:$I$71)=0,0,SUM('BAU2030'!$I$33:$I$62)-SUM('BAU2030'!$I$33:$I$71)/('BAU2030'!$I$16+'BAU2030'!$I$18+'BAU2030'!$I$24+SUM('BAU2030'!$I$33:$I$71))*SUM('BAU2030'!$L$31:$V$31)))*'BAU2030'!$I$89+SUM('BAU2030'!$W$33:$W$62)*'BAU2030'!$W$89)/1000</f>
        <v>5.8416998399999995</v>
      </c>
      <c r="E644" s="12">
        <f>(SUM('BAU2050'!$B$33:$B$62)*'BAU2050'!$B$89+SUM('BAU2050'!$C$33:$C$62)*'BAU2050'!$C$89+SUM('BAU2050'!$D$33:$D$62)*'BAU2050'!$D$89+SUM('BAU2050'!$E$33:$E$62)*'BAU2050'!$E$89+SUM('BAU2050'!$F$33:$F$62)*'BAU2050'!$F$89+SUM('BAU2050'!$G$33:$G$62)*'BAU2050'!$G$89+SUM('BAU2050'!$H$33:$H$62)*'BAU2050'!$H$89+(IF(SUM('BAU2050'!$I$33:$I$71)=0,0,SUM('BAU2050'!$I$33:$I$62)-SUM('BAU2050'!$I$33:$I$71)/('BAU2050'!$I$16+'BAU2050'!$I$18+'BAU2050'!$I$24+SUM('BAU2050'!$I$33:$I$71))*SUM('BAU2050'!$L$31:$V$31)))*'BAU2050'!$I$89+SUM('BAU2050'!$W$33:$W$62)*'BAU2050'!$W$89)/1000</f>
        <v>5.5004481000000007</v>
      </c>
      <c r="F644" s="289"/>
      <c r="G644" s="289"/>
      <c r="H644" s="289"/>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row>
    <row r="645" spans="2:51" x14ac:dyDescent="0.25">
      <c r="B645" s="32" t="s">
        <v>155</v>
      </c>
      <c r="C645" s="12">
        <f>(SUM('2018'!$B$63:$B$71,'2018'!$B$24:$B$25,'2018'!$B$23,'2018'!$B$16)*'2018'!$B$89+SUM('2018'!$C$63:$C$71,'2018'!$C$24:$C$25,'2018'!$C$23,'2018'!$C$16)*'2018'!$C$89+SUM('2018'!$D$63:$D$71,'2018'!$D$24:$D$25,'2018'!$D$23,'2018'!$D$16)*'2018'!$D$89+SUM('2018'!$E$63:$E$71,'2018'!$E$24:$E$25,'2018'!$E$23,'2018'!$E$16)*'2018'!$E$89+SUM('2018'!$F$63:$F$71,'2018'!$F$24:$F$25,'2018'!$F$23,'2018'!$F$16)*'2018'!$F$89+SUM('2018'!$G$63:$G$71,'2018'!$G$24:$G$25,'2018'!$G$23,'2018'!$G$16)*'2018'!$G$89+SUM('2018'!$G$63:$G$71,'2018'!$G$24:$G$25,'2018'!$G$23,'2018'!$G$16)*'2018'!$G$89+SUM('2018'!$H$63:$H$71,'2018'!$H$24:$H$25,'2018'!$H$23,'2018'!$H$16)*'2018'!$H$89+(SUM('2018'!$I$63:$I$71,'2018'!$I$24:$I$25,'2018'!$I$23,'2018'!$I$16)-IF(SUM('2018'!$I$33:$I$71)=0,0,('2018'!$I$24)/('2018'!$I$16+'2018'!$I$18+'2018'!$I$24+SUM('2018'!$I$33:$I$71)))*SUM('2018'!$L$31:$V$31))*'2018'!$I$89+SUM('2018'!$W$63:$W$71,'2018'!$W$24:$W$25,'2018'!$W$23,'2018'!$W$16)*'2018'!$W$89)/1000</f>
        <v>44.493400000000001</v>
      </c>
      <c r="D645" s="12">
        <f>(SUM('BAU2030'!$B$63:$B$71,'BAU2030'!$B$24:$B$25,'BAU2030'!$B$23,'BAU2030'!$B$16)*'BAU2030'!$B$89+SUM('BAU2030'!$C$63:$C$71,'BAU2030'!$C$24:$C$25,'BAU2030'!$C$23,'BAU2030'!$C$16)*'BAU2030'!$C$89+SUM('BAU2030'!$D$63:$D$71,'BAU2030'!$D$24:$D$25,'BAU2030'!$D$23,'BAU2030'!$D$16)*'BAU2030'!$D$89+SUM('BAU2030'!$E$63:$E$71,'BAU2030'!$E$24:$E$25,'BAU2030'!$E$23,'BAU2030'!$E$16)*'BAU2030'!$E$89+SUM('BAU2030'!$F$63:$F$71,'BAU2030'!$F$24:$F$25,'BAU2030'!$F$23,'BAU2030'!$F$16)*'BAU2030'!$F$89+SUM('BAU2030'!$G$63:$G$71,'BAU2030'!$G$24:$G$25,'BAU2030'!$G$23,'BAU2030'!$G$16)*'BAU2030'!$G$89+SUM('BAU2030'!$G$63:$G$71,'BAU2030'!$G$24:$G$25,'BAU2030'!$G$23,'BAU2030'!$G$16)*'BAU2030'!$G$89+SUM('BAU2030'!$H$63:$H$71,'BAU2030'!$H$24:$H$25,'BAU2030'!$H$23,'BAU2030'!$H$16)*'BAU2030'!$H$89+(SUM('BAU2030'!$I$63:$I$71,'BAU2030'!$I$24:$I$25,'BAU2030'!$I$23,'BAU2030'!$I$16)-IF(SUM('BAU2030'!$I$33:$I$71)=0,0,('BAU2030'!$I$24)/('BAU2030'!$I$16+'BAU2030'!$I$18+'BAU2030'!$I$24+SUM('BAU2030'!$I$33:$I$71)))*SUM('BAU2030'!$L$31:$V$31))*'BAU2030'!$I$89+SUM('BAU2030'!$W$63:$W$71,'BAU2030'!$W$24:$W$25,'BAU2030'!$W$23,'BAU2030'!$W$16)*'BAU2030'!$W$89)/1000</f>
        <v>44.493400000000001</v>
      </c>
      <c r="E645" s="12">
        <f>(SUM('BAU2050'!$B$63:$B$71,'BAU2050'!$B$24:$B$25,'BAU2050'!$B$23,'BAU2050'!$B$16)*'BAU2050'!$B$89+SUM('BAU2050'!$C$63:$C$71,'BAU2050'!$C$24:$C$25,'BAU2050'!$C$23,'BAU2050'!$C$16)*'BAU2050'!$C$89+SUM('BAU2050'!$D$63:$D$71,'BAU2050'!$D$24:$D$25,'BAU2050'!$D$23,'BAU2050'!$D$16)*'BAU2050'!$D$89+SUM('BAU2050'!$E$63:$E$71,'BAU2050'!$E$24:$E$25,'BAU2050'!$E$23,'BAU2050'!$E$16)*'BAU2050'!$E$89+SUM('BAU2050'!$F$63:$F$71,'BAU2050'!$F$24:$F$25,'BAU2050'!$F$23,'BAU2050'!$F$16)*'BAU2050'!$F$89+SUM('BAU2050'!$G$63:$G$71,'BAU2050'!$G$24:$G$25,'BAU2050'!$G$23,'BAU2050'!$G$16)*'BAU2050'!$G$89+SUM('BAU2050'!$G$63:$G$71,'BAU2050'!$G$24:$G$25,'BAU2050'!$G$23,'BAU2050'!$G$16)*'BAU2050'!$G$89+SUM('BAU2050'!$H$63:$H$71,'BAU2050'!$H$24:$H$25,'BAU2050'!$H$23,'BAU2050'!$H$16)*'BAU2050'!$H$89+(SUM('BAU2050'!$I$63:$I$71,'BAU2050'!$I$24:$I$25,'BAU2050'!$I$23,'BAU2050'!$I$16)-IF(SUM('BAU2050'!$I$33:$I$71)=0,0,('BAU2050'!$I$24)/('BAU2050'!$I$16+'BAU2050'!$I$18+'BAU2050'!$I$24+SUM('BAU2050'!$I$33:$I$71)))*SUM('BAU2050'!$L$31:$V$31))*'BAU2050'!$I$89+SUM('BAU2050'!$W$63:$W$71,'BAU2050'!$W$24:$W$25,'BAU2050'!$W$23,'BAU2050'!$W$16)*'BAU2050'!$W$89)/1000</f>
        <v>44.493400000000001</v>
      </c>
      <c r="F645" s="289"/>
      <c r="G645" s="289"/>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row>
    <row r="646" spans="2:51" x14ac:dyDescent="0.25">
      <c r="B646" s="32" t="s">
        <v>156</v>
      </c>
      <c r="C646" s="12">
        <f>('2018'!$D$80*'2018'!$D$89+'2018'!$F$82*1000+'2018'!$G$82*1000+'2018'!$H$82*1000)/1000</f>
        <v>264.93598910000003</v>
      </c>
      <c r="D646" s="12">
        <f>('BAU2030'!$D$80*'BAU2030'!$D$89+'BAU2030'!$F$82*1000+'BAU2030'!$G$82*1000+'BAU2030'!$H$82*1000)/1000</f>
        <v>243.40470786900002</v>
      </c>
      <c r="E646" s="12">
        <f>('BAU2050'!$D$80*'BAU2050'!$D$89+'BAU2050'!$F$82*1000+'BAU2050'!$G$82*1000+'BAU2050'!$H$82*1000)/1000</f>
        <v>155.97907681999999</v>
      </c>
      <c r="F646" s="289"/>
      <c r="G646" s="289"/>
      <c r="H646" s="289"/>
      <c r="I646" s="81"/>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row>
    <row r="647" spans="2:51" x14ac:dyDescent="0.25">
      <c r="B647" s="32" t="s">
        <v>207</v>
      </c>
      <c r="C647" s="12"/>
      <c r="D647" s="12"/>
      <c r="E647" s="12"/>
      <c r="F647" s="289"/>
      <c r="G647" s="289"/>
      <c r="H647" s="289"/>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row>
    <row r="648" spans="2:51" x14ac:dyDescent="0.25">
      <c r="B648" s="32" t="s">
        <v>157</v>
      </c>
      <c r="C648" s="12">
        <f>'2018'!$A$82</f>
        <v>-16.253355625390768</v>
      </c>
      <c r="D648" s="12">
        <f>'BAU2030'!$A$82</f>
        <v>0</v>
      </c>
      <c r="E648" s="12">
        <f>'BAU2050'!$A$82</f>
        <v>0</v>
      </c>
      <c r="F648" s="289"/>
      <c r="G648" s="289"/>
      <c r="H648" s="289"/>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row>
    <row r="649" spans="2:51" x14ac:dyDescent="0.25">
      <c r="B649" s="55" t="s">
        <v>147</v>
      </c>
      <c r="C649" s="56">
        <f>SUM(C643:C648)</f>
        <v>336.54126847460924</v>
      </c>
      <c r="D649" s="56">
        <f>SUM(D643:D648)</f>
        <v>312.49488610900005</v>
      </c>
      <c r="E649" s="56">
        <f>SUM(E643:E648)</f>
        <v>221.62284491999998</v>
      </c>
      <c r="F649" s="290"/>
      <c r="G649" s="290"/>
      <c r="H649" s="290"/>
      <c r="I649" s="291"/>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row>
    <row r="650" spans="2:51" x14ac:dyDescent="0.25">
      <c r="B650" s="35"/>
      <c r="C650" s="100"/>
      <c r="D650" s="100"/>
      <c r="E650" s="100"/>
      <c r="F650" s="100"/>
      <c r="G650" s="100"/>
      <c r="H650" s="100"/>
      <c r="I650" s="100"/>
      <c r="J650" s="35"/>
      <c r="K650" s="35"/>
      <c r="L650" s="35"/>
      <c r="M650" s="35"/>
      <c r="N650" s="35"/>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row>
    <row r="651" spans="2:51" x14ac:dyDescent="0.25">
      <c r="B651" s="92"/>
      <c r="C651" s="92"/>
      <c r="D651" s="92"/>
      <c r="E651" s="92"/>
      <c r="F651" s="92"/>
      <c r="G651" s="92"/>
      <c r="H651" s="92"/>
      <c r="I651" s="92"/>
      <c r="J651" s="35"/>
      <c r="K651" s="35"/>
      <c r="L651" s="35"/>
      <c r="M651" s="35"/>
      <c r="N651" s="35"/>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row>
    <row r="652" spans="2:51" ht="15.6" x14ac:dyDescent="0.35">
      <c r="B652" s="59" t="s">
        <v>167</v>
      </c>
      <c r="I652" s="99"/>
      <c r="J652" s="35"/>
      <c r="K652" s="35"/>
      <c r="L652" s="35"/>
      <c r="M652" s="35"/>
      <c r="N652" s="35"/>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row>
    <row r="653" spans="2:51" x14ac:dyDescent="0.25">
      <c r="J653" s="35"/>
      <c r="K653" s="35"/>
      <c r="L653" s="35"/>
      <c r="M653" s="35"/>
      <c r="N653" s="35"/>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row>
    <row r="654" spans="2:51" x14ac:dyDescent="0.25">
      <c r="J654" s="35"/>
      <c r="K654" s="35"/>
      <c r="L654" s="35"/>
      <c r="M654" s="35"/>
      <c r="N654" s="35"/>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row>
    <row r="655" spans="2:51" x14ac:dyDescent="0.25">
      <c r="J655" s="35"/>
      <c r="K655" s="35"/>
      <c r="L655" s="35"/>
      <c r="M655" s="35"/>
      <c r="N655" s="35"/>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row>
    <row r="656" spans="2:51" x14ac:dyDescent="0.25">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row>
    <row r="657" spans="19:51" x14ac:dyDescent="0.25">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row>
    <row r="658" spans="19:51" x14ac:dyDescent="0.25">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row>
    <row r="659" spans="19:51" x14ac:dyDescent="0.25">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row>
    <row r="660" spans="19:51" x14ac:dyDescent="0.25">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row>
    <row r="661" spans="19:51" x14ac:dyDescent="0.25">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row>
    <row r="662" spans="19:51" x14ac:dyDescent="0.25">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row>
    <row r="663" spans="19:51" x14ac:dyDescent="0.25">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row>
    <row r="664" spans="19:51" x14ac:dyDescent="0.25">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row>
    <row r="665" spans="19:51" x14ac:dyDescent="0.25">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row>
    <row r="666" spans="19:51" x14ac:dyDescent="0.25">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row>
    <row r="667" spans="19:51" x14ac:dyDescent="0.25">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row>
    <row r="668" spans="19:51" x14ac:dyDescent="0.25">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row>
    <row r="669" spans="19:51" x14ac:dyDescent="0.25">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row>
    <row r="670" spans="19:51" x14ac:dyDescent="0.25">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row>
    <row r="671" spans="19:51" x14ac:dyDescent="0.25">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row>
    <row r="672" spans="19:51" x14ac:dyDescent="0.25">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row>
    <row r="673" spans="2:51" x14ac:dyDescent="0.25">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row>
    <row r="674" spans="2:51" x14ac:dyDescent="0.25">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row>
    <row r="675" spans="2:51" x14ac:dyDescent="0.25">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row>
    <row r="676" spans="2:51" x14ac:dyDescent="0.25">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row>
    <row r="677" spans="2:51" x14ac:dyDescent="0.25">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row>
    <row r="678" spans="2:51" x14ac:dyDescent="0.25">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row>
    <row r="679" spans="2:51" x14ac:dyDescent="0.25">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row>
    <row r="680" spans="2:51" x14ac:dyDescent="0.25">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row>
    <row r="681" spans="2:51" x14ac:dyDescent="0.25">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row>
    <row r="682" spans="2:51" ht="15.6" x14ac:dyDescent="0.35">
      <c r="B682" s="59" t="s">
        <v>167</v>
      </c>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row>
    <row r="683" spans="2:51" x14ac:dyDescent="0.25">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row>
    <row r="684" spans="2:51" x14ac:dyDescent="0.25">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row>
    <row r="685" spans="2:51" x14ac:dyDescent="0.25">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row>
    <row r="686" spans="2:51" x14ac:dyDescent="0.25">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row>
    <row r="687" spans="2:51" x14ac:dyDescent="0.25">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row>
    <row r="688" spans="2:51" x14ac:dyDescent="0.25">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row>
    <row r="689" spans="19:51" x14ac:dyDescent="0.25">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row>
    <row r="690" spans="19:51" x14ac:dyDescent="0.25">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row>
    <row r="691" spans="19:51" x14ac:dyDescent="0.25">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row>
    <row r="692" spans="19:51" x14ac:dyDescent="0.25">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row>
    <row r="693" spans="19:51" x14ac:dyDescent="0.25">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row>
    <row r="694" spans="19:51" x14ac:dyDescent="0.25">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row>
    <row r="695" spans="19:51" x14ac:dyDescent="0.25">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row>
    <row r="696" spans="19:51" x14ac:dyDescent="0.25">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row>
    <row r="697" spans="19:51" x14ac:dyDescent="0.25">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row>
    <row r="698" spans="19:51" x14ac:dyDescent="0.25">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row>
    <row r="699" spans="19:51" x14ac:dyDescent="0.25">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row>
    <row r="700" spans="19:51" x14ac:dyDescent="0.25">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row>
    <row r="701" spans="19:51" x14ac:dyDescent="0.25">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row>
    <row r="702" spans="19:51" x14ac:dyDescent="0.25">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row>
    <row r="703" spans="19:51" x14ac:dyDescent="0.25">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row>
    <row r="704" spans="19:51" x14ac:dyDescent="0.25">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row>
    <row r="705" spans="1:51" x14ac:dyDescent="0.25">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row>
    <row r="706" spans="1:51" x14ac:dyDescent="0.25">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row>
    <row r="707" spans="1:51" x14ac:dyDescent="0.25">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row>
    <row r="708" spans="1:51" x14ac:dyDescent="0.25">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row>
    <row r="709" spans="1:51" x14ac:dyDescent="0.25">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row>
    <row r="710" spans="1:51" x14ac:dyDescent="0.25">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row>
    <row r="711" spans="1:51" x14ac:dyDescent="0.25">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row>
    <row r="712" spans="1:51" ht="33.75" customHeight="1" x14ac:dyDescent="0.25">
      <c r="A712" s="26"/>
      <c r="B712" s="66" t="s">
        <v>168</v>
      </c>
      <c r="C712" s="67"/>
      <c r="D712" s="67"/>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row>
    <row r="713" spans="1:51" x14ac:dyDescent="0.25">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row>
    <row r="714" spans="1:51" x14ac:dyDescent="0.25">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row>
    <row r="715" spans="1:51" x14ac:dyDescent="0.25">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row>
    <row r="716" spans="1:51" x14ac:dyDescent="0.25">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row>
    <row r="717" spans="1:51" x14ac:dyDescent="0.25">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row>
    <row r="718" spans="1:51" x14ac:dyDescent="0.25">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row>
    <row r="719" spans="1:51" x14ac:dyDescent="0.25">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row>
    <row r="720" spans="1:51" x14ac:dyDescent="0.25">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row>
    <row r="721" spans="2:51" x14ac:dyDescent="0.25">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row>
    <row r="722" spans="2:51" x14ac:dyDescent="0.25">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row>
    <row r="723" spans="2:51" x14ac:dyDescent="0.25">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row>
    <row r="724" spans="2:51" x14ac:dyDescent="0.25">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row>
    <row r="725" spans="2:51" x14ac:dyDescent="0.25">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row>
    <row r="726" spans="2:51" x14ac:dyDescent="0.25">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row>
    <row r="727" spans="2:51" x14ac:dyDescent="0.25">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row>
    <row r="728" spans="2:51" x14ac:dyDescent="0.25">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row>
    <row r="729" spans="2:51" x14ac:dyDescent="0.25">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row>
    <row r="730" spans="2:51" x14ac:dyDescent="0.25">
      <c r="B730" s="30" t="s">
        <v>168</v>
      </c>
      <c r="C730" s="37" t="s">
        <v>129</v>
      </c>
      <c r="D730" s="37" t="s">
        <v>129</v>
      </c>
      <c r="E730" s="37" t="s">
        <v>129</v>
      </c>
      <c r="F730" s="37" t="s">
        <v>129</v>
      </c>
      <c r="G730" s="37" t="s">
        <v>129</v>
      </c>
      <c r="H730" s="37" t="s">
        <v>129</v>
      </c>
      <c r="I730" s="70" t="s">
        <v>129</v>
      </c>
      <c r="J730" s="70" t="s">
        <v>129</v>
      </c>
      <c r="K730" s="37" t="s">
        <v>129</v>
      </c>
      <c r="L730" s="71" t="s">
        <v>129</v>
      </c>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row>
    <row r="731" spans="2:51" x14ac:dyDescent="0.25">
      <c r="B731" s="14"/>
      <c r="C731" s="30" t="s">
        <v>169</v>
      </c>
      <c r="D731" s="30" t="s">
        <v>170</v>
      </c>
      <c r="E731" s="30" t="s">
        <v>171</v>
      </c>
      <c r="F731" s="30" t="s">
        <v>172</v>
      </c>
      <c r="G731" s="30" t="s">
        <v>173</v>
      </c>
      <c r="H731" s="30" t="s">
        <v>174</v>
      </c>
      <c r="I731" s="36" t="s">
        <v>175</v>
      </c>
      <c r="J731" s="30" t="s">
        <v>176</v>
      </c>
      <c r="K731" s="30" t="s">
        <v>156</v>
      </c>
      <c r="L731" s="71" t="s">
        <v>147</v>
      </c>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row>
    <row r="732" spans="2:51" x14ac:dyDescent="0.25">
      <c r="B732" s="32" t="s">
        <v>177</v>
      </c>
      <c r="C732" s="12" t="e">
        <f>(#REF!/#REF!%+#REF!/#REF!%+#REF!/#REF!%+#REF!/#REF!%+#REF!/#REF!%+#REF!/#REF!%+#REF!)/0.95</f>
        <v>#REF!</v>
      </c>
      <c r="D732" s="12" t="e">
        <f>(#REF!/#REF!%+#REF!/#REF!%+#REF!/#REF!%)/0.95</f>
        <v>#REF!</v>
      </c>
      <c r="E732" s="12" t="e">
        <f>(#REF!/#REF!%+#REF!/#REF!%+#REF!/#REF!%)/0.95</f>
        <v>#REF!</v>
      </c>
      <c r="F732" s="12" t="e">
        <f>(#REF!/#REF!%+#REF!/#REF!%+#REF!/#REF!%)/0.95</f>
        <v>#REF!</v>
      </c>
      <c r="G732" s="12" t="e">
        <f>(#REF!/#REF!%+#REF!/#REF!%+#REF!/#REF!%)/0.95</f>
        <v>#REF!</v>
      </c>
      <c r="H732" s="12" t="e">
        <f>(#REF!/#REF!%+#REF!/#REF!%+#REF!/#REF!%+#REF!)/0.95</f>
        <v>#REF!</v>
      </c>
      <c r="I732" s="12" t="e">
        <f>(#REF!/#REF!%+#REF!/#REF!%+#REF!/#REF!%)/0.95</f>
        <v>#REF!</v>
      </c>
      <c r="J732" s="12" t="e">
        <f>(#REF!/#REF!%+#REF!/#REF!%+#REF!/#REF!%)/0.95</f>
        <v>#REF!</v>
      </c>
      <c r="K732" s="12" t="e">
        <f>(#REF!/#REF!%+#REF!/#REF!%)/0.95</f>
        <v>#REF!</v>
      </c>
      <c r="L732" s="72" t="e">
        <f>SUM(C732:K732)</f>
        <v>#REF!</v>
      </c>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row>
    <row r="733" spans="2:51" x14ac:dyDescent="0.25">
      <c r="B733" s="32" t="s">
        <v>132</v>
      </c>
      <c r="C733" s="12"/>
      <c r="D733" s="12"/>
      <c r="E733" s="12"/>
      <c r="F733" s="12"/>
      <c r="G733" s="12"/>
      <c r="H733" s="12" t="e">
        <f>#REF!</f>
        <v>#REF!</v>
      </c>
      <c r="I733" s="73"/>
      <c r="J733" s="73"/>
      <c r="K733" s="12"/>
      <c r="L733" s="72" t="e">
        <f t="shared" ref="L733:L745" si="2">SUM(C733:K733)</f>
        <v>#REF!</v>
      </c>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row>
    <row r="734" spans="2:51" x14ac:dyDescent="0.25">
      <c r="B734" s="32" t="s">
        <v>133</v>
      </c>
      <c r="C734" s="12" t="e">
        <f>#REF!/#REF!%+#REF!/#REF!%</f>
        <v>#REF!</v>
      </c>
      <c r="D734" s="12" t="e">
        <f>#REF!/#REF!%</f>
        <v>#REF!</v>
      </c>
      <c r="E734" s="12" t="e">
        <f>#REF!/#REF!%</f>
        <v>#REF!</v>
      </c>
      <c r="F734" s="12" t="e">
        <f>#REF!/#REF!%</f>
        <v>#REF!</v>
      </c>
      <c r="G734" s="12" t="e">
        <f>#REF!/#REF!%</f>
        <v>#REF!</v>
      </c>
      <c r="H734" s="12" t="e">
        <f>#REF!/#REF!%+#REF!+#REF!</f>
        <v>#REF!</v>
      </c>
      <c r="I734" s="12" t="e">
        <f>#REF!/#REF!%</f>
        <v>#REF!</v>
      </c>
      <c r="J734" s="12" t="e">
        <f>#REF!/#REF!%</f>
        <v>#REF!</v>
      </c>
      <c r="K734" s="12" t="e">
        <f>#REF!/#REF!%</f>
        <v>#REF!</v>
      </c>
      <c r="L734" s="72" t="e">
        <f t="shared" si="2"/>
        <v>#REF!</v>
      </c>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row>
    <row r="735" spans="2:51" x14ac:dyDescent="0.25">
      <c r="B735" s="32" t="s">
        <v>134</v>
      </c>
      <c r="C735" s="12"/>
      <c r="D735" s="12"/>
      <c r="E735" s="12"/>
      <c r="F735" s="12"/>
      <c r="G735" s="12"/>
      <c r="H735" s="12" t="e">
        <f>#REF!</f>
        <v>#REF!</v>
      </c>
      <c r="I735" s="73"/>
      <c r="J735" s="73"/>
      <c r="K735" s="12" t="e">
        <f>#REF!*#REF!/100</f>
        <v>#REF!</v>
      </c>
      <c r="L735" s="72" t="e">
        <f t="shared" si="2"/>
        <v>#REF!</v>
      </c>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row>
    <row r="736" spans="2:51" x14ac:dyDescent="0.25">
      <c r="B736" s="32" t="s">
        <v>135</v>
      </c>
      <c r="C736" s="12" t="e">
        <f>#REF!/#REF!%</f>
        <v>#REF!</v>
      </c>
      <c r="D736" s="12"/>
      <c r="E736" s="12"/>
      <c r="F736" s="12"/>
      <c r="G736" s="12"/>
      <c r="H736" s="12" t="e">
        <f>SUM(#REF!)+SUM(#REF!)</f>
        <v>#REF!</v>
      </c>
      <c r="I736" s="73"/>
      <c r="J736" s="73" t="e">
        <f>#REF!/#REF!%</f>
        <v>#REF!</v>
      </c>
      <c r="K736" s="12" t="e">
        <f>#REF!+#REF!+#REF!+#REF!+#REF!+#REF!</f>
        <v>#REF!</v>
      </c>
      <c r="L736" s="72" t="e">
        <f t="shared" si="2"/>
        <v>#REF!</v>
      </c>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row>
    <row r="737" spans="2:51" x14ac:dyDescent="0.25">
      <c r="B737" s="32" t="s">
        <v>137</v>
      </c>
      <c r="C737" s="12"/>
      <c r="D737" s="12"/>
      <c r="E737" s="12"/>
      <c r="F737" s="12"/>
      <c r="G737" s="12"/>
      <c r="H737" s="12" t="e">
        <f>#REF!</f>
        <v>#REF!</v>
      </c>
      <c r="I737" s="73"/>
      <c r="J737" s="73"/>
      <c r="K737" s="12" t="e">
        <f>#REF!+#REF!</f>
        <v>#REF!</v>
      </c>
      <c r="L737" s="72" t="e">
        <f t="shared" si="2"/>
        <v>#REF!</v>
      </c>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row>
    <row r="738" spans="2:51" x14ac:dyDescent="0.25">
      <c r="B738" s="32" t="s">
        <v>136</v>
      </c>
      <c r="C738" s="12"/>
      <c r="D738" s="12"/>
      <c r="E738" s="12"/>
      <c r="F738" s="12"/>
      <c r="G738" s="12"/>
      <c r="H738" s="12"/>
      <c r="I738" s="73"/>
      <c r="J738" s="73"/>
      <c r="K738" s="12" t="e">
        <f>#REF!</f>
        <v>#REF!</v>
      </c>
      <c r="L738" s="72" t="e">
        <f t="shared" si="2"/>
        <v>#REF!</v>
      </c>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row>
    <row r="739" spans="2:51" x14ac:dyDescent="0.25">
      <c r="B739" s="32" t="s">
        <v>138</v>
      </c>
      <c r="C739" s="12"/>
      <c r="D739" s="12"/>
      <c r="E739" s="12"/>
      <c r="F739" s="12"/>
      <c r="G739" s="12"/>
      <c r="H739" s="12" t="e">
        <f>#REF!</f>
        <v>#REF!</v>
      </c>
      <c r="I739" s="73"/>
      <c r="J739" s="73"/>
      <c r="K739" s="12"/>
      <c r="L739" s="72" t="e">
        <f t="shared" si="2"/>
        <v>#REF!</v>
      </c>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row>
    <row r="740" spans="2:51" x14ac:dyDescent="0.25">
      <c r="B740" s="32" t="s">
        <v>178</v>
      </c>
      <c r="C740" s="12"/>
      <c r="D740" s="12"/>
      <c r="E740" s="12"/>
      <c r="F740" s="12"/>
      <c r="G740" s="12"/>
      <c r="H740" s="12"/>
      <c r="I740" s="73"/>
      <c r="J740" s="73" t="e">
        <f>#REF!</f>
        <v>#REF!</v>
      </c>
      <c r="K740" s="12" t="e">
        <f>SUM(#REF!)</f>
        <v>#REF!</v>
      </c>
      <c r="L740" s="72" t="e">
        <f t="shared" si="2"/>
        <v>#REF!</v>
      </c>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row>
    <row r="741" spans="2:51" x14ac:dyDescent="0.25">
      <c r="B741" s="32" t="s">
        <v>141</v>
      </c>
      <c r="C741" s="12" t="e">
        <f>#REF!/#REF!%+#REF!/#REF!%+#REF!/#REF!%</f>
        <v>#REF!</v>
      </c>
      <c r="D741" s="12"/>
      <c r="E741" s="12"/>
      <c r="F741" s="12"/>
      <c r="G741" s="12"/>
      <c r="H741" s="12" t="e">
        <f>SUM(#REF!)</f>
        <v>#REF!</v>
      </c>
      <c r="I741" s="73"/>
      <c r="J741" s="73"/>
      <c r="K741" s="12"/>
      <c r="L741" s="72" t="e">
        <f t="shared" si="2"/>
        <v>#REF!</v>
      </c>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row>
    <row r="742" spans="2:51" x14ac:dyDescent="0.25">
      <c r="B742" s="32" t="s">
        <v>179</v>
      </c>
      <c r="C742" s="12" t="e">
        <f>#REF!/IF(#REF!=0,1,#REF!%)+#REF!/IF(#REF!=0,1,#REF!%)+#REF!/IF(#REF!=0,1,#REF!%)+#REF!/IF(#REF!=0,1,#REF!%)+#REF!/IF(#REF!=0,1,#REF!%)+#REF!/IF(#REF!=0,1,#REF!%)</f>
        <v>#REF!</v>
      </c>
      <c r="D742" s="12" t="e">
        <f>#REF!/IF(#REF!=0,1,#REF!%)+#REF!/IF(#REF!=0,1,#REF!%)+#REF!/IF(#REF!=0,1,#REF!%)+#REF!/IF(#REF!=0,1,#REF!%)+#REF!/IF(#REF!=0,1,#REF!%)+#REF!/IF(#REF!=0,1,#REF!%)</f>
        <v>#REF!</v>
      </c>
      <c r="E742" s="12" t="e">
        <f>#REF!/IF(#REF!=0,1,#REF!%)+#REF!/IF(#REF!=0,1,#REF!%)+#REF!/IF(#REF!=0,1,#REF!%)+#REF!/IF(#REF!=0,1,#REF!%)+#REF!/IF(#REF!=0,1,#REF!%)+#REF!/IF(#REF!=0,1,#REF!%)</f>
        <v>#REF!</v>
      </c>
      <c r="F742" s="12" t="e">
        <f>#REF!/IF(#REF!=0,1,#REF!%)+#REF!/IF(#REF!=0,1,#REF!%)+#REF!/IF(#REF!=0,1,#REF!%)+#REF!/IF(#REF!=0,1,#REF!%)+#REF!/IF(#REF!=0,1,#REF!%)+#REF!/IF(#REF!=0,1,#REF!%)</f>
        <v>#REF!</v>
      </c>
      <c r="G742" s="12" t="e">
        <f>#REF!/IF(#REF!=0,1,#REF!%)+#REF!/IF(#REF!=0,1,#REF!%)+#REF!/IF(#REF!=0,1,#REF!%)+#REF!/IF(#REF!=0,1,#REF!%)+#REF!/IF(#REF!=0,1,#REF!%)+#REF!/IF(#REF!=0,1,#REF!%)</f>
        <v>#REF!</v>
      </c>
      <c r="H742" s="12" t="e">
        <f>#REF!/IF(#REF!=0,1,#REF!%)+#REF!/IF(#REF!=0,1,#REF!%)+#REF!/IF(#REF!=0,1,#REF!%)+#REF!/IF(#REF!=0,1,#REF!%)+#REF!/IF(#REF!=0,1,#REF!%)+#REF!/IF(#REF!=0,1,#REF!%)</f>
        <v>#REF!</v>
      </c>
      <c r="I742" s="12" t="e">
        <f>#REF!/IF(#REF!=0,1,#REF!%)+#REF!/IF(#REF!=0,1,#REF!%)+#REF!/IF(#REF!=0,1,#REF!%)+#REF!/IF(#REF!=0,1,#REF!%)+#REF!/IF(#REF!=0,1,#REF!%)+#REF!/IF(#REF!=0,1,#REF!%)</f>
        <v>#REF!</v>
      </c>
      <c r="J742" s="12" t="e">
        <f>#REF!/IF(#REF!=0,1,#REF!%)+#REF!/IF(#REF!=0,1,#REF!%)+#REF!/IF(#REF!=0,1,#REF!%)+#REF!/IF(#REF!=0,1,#REF!%)+#REF!/IF(#REF!=0,1,#REF!%)+#REF!/IF(#REF!=0,1,#REF!%)</f>
        <v>#REF!</v>
      </c>
      <c r="K742" s="12"/>
      <c r="L742" s="72" t="e">
        <f t="shared" si="2"/>
        <v>#REF!</v>
      </c>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row>
    <row r="743" spans="2:51" x14ac:dyDescent="0.25">
      <c r="B743" s="32" t="s">
        <v>211</v>
      </c>
      <c r="C743" s="12"/>
      <c r="D743" s="12"/>
      <c r="E743" s="12"/>
      <c r="F743" s="12"/>
      <c r="G743" s="12"/>
      <c r="H743" s="12" t="e">
        <f>(-#REF!)</f>
        <v>#REF!</v>
      </c>
      <c r="I743" s="73"/>
      <c r="J743" s="73"/>
      <c r="K743" s="12"/>
      <c r="L743" s="72" t="e">
        <f t="shared" si="2"/>
        <v>#REF!</v>
      </c>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row>
    <row r="744" spans="2:51" x14ac:dyDescent="0.25">
      <c r="B744" s="32" t="s">
        <v>143</v>
      </c>
      <c r="C744" s="12"/>
      <c r="D744" s="12"/>
      <c r="E744" s="12"/>
      <c r="F744" s="12"/>
      <c r="G744" s="12"/>
      <c r="H744" s="12" t="e">
        <f>#REF!+#REF!+#REF!+#REF!</f>
        <v>#REF!</v>
      </c>
      <c r="I744" s="73"/>
      <c r="J744" s="73"/>
      <c r="K744" s="12"/>
      <c r="L744" s="72" t="e">
        <f t="shared" si="2"/>
        <v>#REF!</v>
      </c>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row>
    <row r="745" spans="2:51" x14ac:dyDescent="0.25">
      <c r="B745" s="32" t="s">
        <v>180</v>
      </c>
      <c r="C745" s="12" t="e">
        <f>#REF!/#REF!%+#REF!</f>
        <v>#REF!</v>
      </c>
      <c r="D745" s="12"/>
      <c r="E745" s="12"/>
      <c r="F745" s="12"/>
      <c r="G745" s="12"/>
      <c r="H745" s="12"/>
      <c r="I745" s="73"/>
      <c r="J745" s="73"/>
      <c r="K745" s="12"/>
      <c r="L745" s="72" t="e">
        <f t="shared" si="2"/>
        <v>#REF!</v>
      </c>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row>
    <row r="746" spans="2:51" x14ac:dyDescent="0.25">
      <c r="B746" s="55" t="s">
        <v>147</v>
      </c>
      <c r="C746" s="56" t="e">
        <f t="shared" ref="C746:K746" si="3">SUM(C732:C745)</f>
        <v>#REF!</v>
      </c>
      <c r="D746" s="56" t="e">
        <f t="shared" si="3"/>
        <v>#REF!</v>
      </c>
      <c r="E746" s="56" t="e">
        <f t="shared" si="3"/>
        <v>#REF!</v>
      </c>
      <c r="F746" s="56" t="e">
        <f t="shared" si="3"/>
        <v>#REF!</v>
      </c>
      <c r="G746" s="56" t="e">
        <f t="shared" si="3"/>
        <v>#REF!</v>
      </c>
      <c r="H746" s="56" t="e">
        <f t="shared" si="3"/>
        <v>#REF!</v>
      </c>
      <c r="I746" s="74" t="e">
        <f t="shared" si="3"/>
        <v>#REF!</v>
      </c>
      <c r="J746" s="74" t="e">
        <f t="shared" si="3"/>
        <v>#REF!</v>
      </c>
      <c r="K746" s="56" t="e">
        <f t="shared" si="3"/>
        <v>#REF!</v>
      </c>
      <c r="L746" s="72" t="e">
        <f>SUM(C746:K746)</f>
        <v>#REF!</v>
      </c>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row>
    <row r="747" spans="2:51" x14ac:dyDescent="0.25">
      <c r="B747" s="31"/>
      <c r="C747" s="75"/>
      <c r="D747" s="50"/>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row>
    <row r="748" spans="2:51" x14ac:dyDescent="0.25">
      <c r="B748" s="31"/>
      <c r="C748" s="50"/>
      <c r="D748" s="50"/>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row>
    <row r="749" spans="2:51" x14ac:dyDescent="0.25">
      <c r="B749" s="59" t="s">
        <v>231</v>
      </c>
      <c r="C749" s="50"/>
      <c r="D749" s="50"/>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row>
    <row r="750" spans="2:51" x14ac:dyDescent="0.25">
      <c r="B750" s="31"/>
      <c r="C750" s="50"/>
      <c r="D750" s="50"/>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row>
    <row r="751" spans="2:51" x14ac:dyDescent="0.25">
      <c r="B751" s="31"/>
      <c r="C751" s="50"/>
      <c r="D751" s="50"/>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row>
    <row r="752" spans="2:51" x14ac:dyDescent="0.25">
      <c r="B752" s="31"/>
      <c r="C752" s="50"/>
      <c r="D752" s="50"/>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row>
    <row r="753" spans="2:51" x14ac:dyDescent="0.25">
      <c r="B753" s="31"/>
      <c r="C753" s="50"/>
      <c r="D753" s="50"/>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row>
    <row r="754" spans="2:51" x14ac:dyDescent="0.25">
      <c r="B754" s="31"/>
      <c r="C754" s="50"/>
      <c r="D754" s="50"/>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row>
    <row r="755" spans="2:51" x14ac:dyDescent="0.25">
      <c r="B755" s="31"/>
      <c r="C755" s="50"/>
      <c r="D755" s="50"/>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row>
    <row r="756" spans="2:51" x14ac:dyDescent="0.25">
      <c r="B756" s="31"/>
      <c r="C756" s="50"/>
      <c r="D756" s="50"/>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row>
    <row r="757" spans="2:51" x14ac:dyDescent="0.25">
      <c r="B757" s="31"/>
      <c r="C757" s="50"/>
      <c r="D757" s="50"/>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row>
    <row r="758" spans="2:51" x14ac:dyDescent="0.25">
      <c r="B758" s="31"/>
      <c r="C758" s="50"/>
      <c r="D758" s="50"/>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row>
    <row r="759" spans="2:51" x14ac:dyDescent="0.25">
      <c r="B759" s="31"/>
      <c r="C759" s="50"/>
      <c r="D759" s="50"/>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row>
    <row r="760" spans="2:51" x14ac:dyDescent="0.25">
      <c r="B760" s="31"/>
      <c r="C760" s="50"/>
      <c r="D760" s="50"/>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row>
    <row r="761" spans="2:51" x14ac:dyDescent="0.25">
      <c r="B761" s="31"/>
      <c r="C761" s="50"/>
      <c r="D761" s="50"/>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row>
    <row r="762" spans="2:51" x14ac:dyDescent="0.25">
      <c r="B762" s="31"/>
      <c r="C762" s="50"/>
      <c r="D762" s="50"/>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row>
    <row r="763" spans="2:51" x14ac:dyDescent="0.25">
      <c r="B763" s="31"/>
      <c r="C763" s="50"/>
      <c r="D763" s="50"/>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row>
    <row r="764" spans="2:51" x14ac:dyDescent="0.25">
      <c r="B764" s="31"/>
      <c r="C764" s="50"/>
      <c r="D764" s="50"/>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row>
    <row r="765" spans="2:51" x14ac:dyDescent="0.25">
      <c r="B765" s="31"/>
      <c r="C765" s="50"/>
      <c r="D765" s="50"/>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row>
    <row r="766" spans="2:51" x14ac:dyDescent="0.25">
      <c r="B766" s="31"/>
      <c r="C766" s="50"/>
      <c r="D766" s="50"/>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row>
    <row r="767" spans="2:51" x14ac:dyDescent="0.25">
      <c r="B767" s="31"/>
      <c r="C767" s="50"/>
      <c r="D767" s="50"/>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row>
    <row r="768" spans="2:51" x14ac:dyDescent="0.25">
      <c r="B768" s="31"/>
      <c r="C768" s="50"/>
      <c r="D768" s="50"/>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row>
    <row r="769" spans="2:51" x14ac:dyDescent="0.25">
      <c r="B769" s="31"/>
      <c r="C769" s="50"/>
      <c r="D769" s="50"/>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row>
    <row r="770" spans="2:51" x14ac:dyDescent="0.25">
      <c r="B770" s="31"/>
      <c r="C770" s="50"/>
      <c r="D770" s="50"/>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row>
    <row r="771" spans="2:51" x14ac:dyDescent="0.25">
      <c r="B771" s="31"/>
      <c r="C771" s="50"/>
      <c r="D771" s="50"/>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row>
    <row r="772" spans="2:51" x14ac:dyDescent="0.25">
      <c r="B772" s="31"/>
      <c r="C772" s="50"/>
      <c r="D772" s="50"/>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row>
    <row r="773" spans="2:51" x14ac:dyDescent="0.25">
      <c r="B773" s="31"/>
      <c r="C773" s="50"/>
      <c r="D773" s="50"/>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row>
    <row r="774" spans="2:51" x14ac:dyDescent="0.25">
      <c r="B774" s="31"/>
      <c r="C774" s="50"/>
      <c r="D774" s="50"/>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row>
    <row r="775" spans="2:51" x14ac:dyDescent="0.25">
      <c r="B775" s="31"/>
      <c r="C775" s="50"/>
      <c r="D775" s="50"/>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row>
    <row r="776" spans="2:51" x14ac:dyDescent="0.25">
      <c r="B776" s="31"/>
      <c r="C776" s="50"/>
      <c r="D776" s="50"/>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row>
    <row r="777" spans="2:51" x14ac:dyDescent="0.25">
      <c r="B777" s="31"/>
      <c r="C777" s="50"/>
      <c r="D777" s="50"/>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row>
    <row r="778" spans="2:51" x14ac:dyDescent="0.25">
      <c r="B778" s="31"/>
      <c r="C778" s="50"/>
      <c r="D778" s="50"/>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row>
    <row r="779" spans="2:51" x14ac:dyDescent="0.25">
      <c r="B779" s="31"/>
      <c r="C779" s="50"/>
      <c r="D779" s="50"/>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row>
    <row r="780" spans="2:51" x14ac:dyDescent="0.25">
      <c r="B780" s="31"/>
      <c r="C780" s="50"/>
      <c r="D780" s="50"/>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row>
    <row r="781" spans="2:51" x14ac:dyDescent="0.25">
      <c r="B781" s="31"/>
      <c r="C781" s="50"/>
      <c r="D781" s="50"/>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row>
    <row r="782" spans="2:51" x14ac:dyDescent="0.25">
      <c r="B782" s="31"/>
      <c r="C782" s="50"/>
      <c r="D782" s="50"/>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row>
    <row r="783" spans="2:51" x14ac:dyDescent="0.25">
      <c r="B783" s="31"/>
      <c r="C783" s="50"/>
      <c r="D783" s="50"/>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row>
    <row r="784" spans="2:51" x14ac:dyDescent="0.25">
      <c r="B784" s="59" t="s">
        <v>231</v>
      </c>
      <c r="C784" s="50"/>
      <c r="D784" s="50"/>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row>
    <row r="785" spans="2:51" x14ac:dyDescent="0.25">
      <c r="B785" s="31"/>
      <c r="C785" s="50"/>
      <c r="D785" s="50"/>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row>
    <row r="786" spans="2:51" x14ac:dyDescent="0.25">
      <c r="B786" s="31"/>
      <c r="C786" s="50"/>
      <c r="D786" s="50"/>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row>
    <row r="787" spans="2:51" x14ac:dyDescent="0.25">
      <c r="B787" s="31"/>
      <c r="C787" s="50"/>
      <c r="D787" s="50"/>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row>
    <row r="788" spans="2:51" x14ac:dyDescent="0.25">
      <c r="B788" s="31"/>
      <c r="C788" s="50"/>
      <c r="D788" s="50"/>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row>
    <row r="789" spans="2:51" x14ac:dyDescent="0.25">
      <c r="B789" s="31"/>
      <c r="C789" s="50"/>
      <c r="D789" s="50"/>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row>
    <row r="790" spans="2:51" x14ac:dyDescent="0.25">
      <c r="B790" s="31"/>
      <c r="C790" s="50"/>
      <c r="D790" s="50"/>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row>
    <row r="791" spans="2:51" x14ac:dyDescent="0.25">
      <c r="B791" s="31"/>
      <c r="C791" s="50"/>
      <c r="D791" s="50"/>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row>
    <row r="792" spans="2:51" x14ac:dyDescent="0.25">
      <c r="B792" s="31"/>
      <c r="C792" s="50"/>
      <c r="D792" s="50"/>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row>
    <row r="793" spans="2:51" x14ac:dyDescent="0.25">
      <c r="B793" s="31"/>
      <c r="C793" s="50"/>
      <c r="D793" s="50"/>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row>
    <row r="794" spans="2:51" x14ac:dyDescent="0.25">
      <c r="B794" s="31"/>
      <c r="C794" s="50"/>
      <c r="D794" s="50"/>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row>
    <row r="795" spans="2:51" x14ac:dyDescent="0.25">
      <c r="B795" s="31"/>
      <c r="C795" s="50"/>
      <c r="D795" s="50"/>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row>
    <row r="796" spans="2:51" x14ac:dyDescent="0.25">
      <c r="B796" s="31"/>
      <c r="C796" s="50"/>
      <c r="D796" s="50"/>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row>
    <row r="797" spans="2:51" x14ac:dyDescent="0.25">
      <c r="B797" s="31"/>
      <c r="C797" s="50"/>
      <c r="D797" s="50"/>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row>
    <row r="798" spans="2:51" x14ac:dyDescent="0.25">
      <c r="B798" s="31"/>
      <c r="C798" s="50"/>
      <c r="D798" s="50"/>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row>
    <row r="799" spans="2:51" x14ac:dyDescent="0.25">
      <c r="B799" s="31"/>
      <c r="C799" s="50"/>
      <c r="D799" s="50"/>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row>
    <row r="800" spans="2:51" x14ac:dyDescent="0.25">
      <c r="B800" s="31"/>
      <c r="C800" s="50"/>
      <c r="D800" s="50"/>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row>
    <row r="801" spans="2:51" x14ac:dyDescent="0.25">
      <c r="B801" s="31"/>
      <c r="C801" s="50"/>
      <c r="D801" s="50"/>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row>
    <row r="802" spans="2:51" x14ac:dyDescent="0.25">
      <c r="B802" s="31"/>
      <c r="C802" s="50"/>
      <c r="D802" s="50"/>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row>
    <row r="803" spans="2:51" x14ac:dyDescent="0.25">
      <c r="B803" s="31"/>
      <c r="C803" s="50"/>
      <c r="D803" s="50"/>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row>
    <row r="804" spans="2:51" x14ac:dyDescent="0.25">
      <c r="B804" s="31"/>
      <c r="C804" s="50"/>
      <c r="D804" s="50"/>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row>
    <row r="805" spans="2:51" x14ac:dyDescent="0.25">
      <c r="B805" s="31"/>
      <c r="C805" s="50"/>
      <c r="D805" s="50"/>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row>
    <row r="806" spans="2:51" x14ac:dyDescent="0.25">
      <c r="B806" s="31"/>
      <c r="C806" s="50"/>
      <c r="D806" s="50"/>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row>
    <row r="807" spans="2:51" x14ac:dyDescent="0.25">
      <c r="B807" s="31"/>
      <c r="C807" s="50"/>
      <c r="D807" s="50"/>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row>
    <row r="808" spans="2:51" x14ac:dyDescent="0.25">
      <c r="B808" s="31"/>
      <c r="C808" s="50"/>
      <c r="D808" s="50"/>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row>
    <row r="809" spans="2:51" x14ac:dyDescent="0.25">
      <c r="B809" s="31"/>
      <c r="C809" s="50"/>
      <c r="D809" s="50"/>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row>
    <row r="810" spans="2:51" x14ac:dyDescent="0.25">
      <c r="B810" s="31"/>
      <c r="C810" s="50"/>
      <c r="D810" s="50"/>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row>
    <row r="811" spans="2:51" x14ac:dyDescent="0.25">
      <c r="B811" s="31"/>
      <c r="C811" s="50"/>
      <c r="D811" s="50"/>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row>
    <row r="812" spans="2:51" x14ac:dyDescent="0.25">
      <c r="B812" s="31"/>
      <c r="C812" s="50"/>
      <c r="D812" s="50"/>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row>
    <row r="813" spans="2:51" x14ac:dyDescent="0.25">
      <c r="B813" s="31"/>
      <c r="C813" s="50"/>
      <c r="D813" s="50"/>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row>
    <row r="814" spans="2:51" x14ac:dyDescent="0.25">
      <c r="B814" s="31"/>
      <c r="C814" s="50"/>
      <c r="D814" s="50"/>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row>
    <row r="815" spans="2:51" x14ac:dyDescent="0.25">
      <c r="B815" s="31"/>
      <c r="C815" s="50"/>
      <c r="D815" s="50"/>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row>
    <row r="816" spans="2:51" x14ac:dyDescent="0.25">
      <c r="B816" s="31"/>
      <c r="C816" s="50"/>
      <c r="D816" s="50"/>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row>
    <row r="817" spans="2:51" x14ac:dyDescent="0.25">
      <c r="B817" s="31"/>
      <c r="C817" s="50"/>
      <c r="D817" s="50"/>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row>
    <row r="818" spans="2:51" x14ac:dyDescent="0.25">
      <c r="B818" s="59" t="s">
        <v>232</v>
      </c>
      <c r="C818" s="50"/>
      <c r="D818" s="50"/>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row>
    <row r="819" spans="2:51" x14ac:dyDescent="0.25">
      <c r="B819" s="31"/>
      <c r="C819" s="50"/>
      <c r="D819" s="50"/>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row>
    <row r="820" spans="2:51" x14ac:dyDescent="0.25">
      <c r="B820" s="31"/>
      <c r="C820" s="50"/>
      <c r="D820" s="50"/>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row>
    <row r="821" spans="2:51" x14ac:dyDescent="0.25">
      <c r="B821" s="31"/>
      <c r="C821" s="50"/>
      <c r="D821" s="50"/>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row>
    <row r="822" spans="2:51" x14ac:dyDescent="0.25">
      <c r="B822" s="31"/>
      <c r="C822" s="50"/>
      <c r="D822" s="50"/>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row>
    <row r="823" spans="2:51" x14ac:dyDescent="0.25">
      <c r="B823" s="31"/>
      <c r="C823" s="50"/>
      <c r="D823" s="50"/>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row>
    <row r="824" spans="2:51" x14ac:dyDescent="0.25">
      <c r="B824" s="31"/>
      <c r="C824" s="50"/>
      <c r="D824" s="50"/>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row>
    <row r="825" spans="2:51" x14ac:dyDescent="0.25">
      <c r="B825" s="31"/>
      <c r="C825" s="50"/>
      <c r="D825" s="50"/>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row>
    <row r="826" spans="2:51" x14ac:dyDescent="0.25">
      <c r="B826" s="31"/>
      <c r="C826" s="50"/>
      <c r="D826" s="50"/>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row>
    <row r="827" spans="2:51" x14ac:dyDescent="0.25">
      <c r="B827" s="31"/>
      <c r="C827" s="50"/>
      <c r="D827" s="50"/>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row>
    <row r="828" spans="2:51" x14ac:dyDescent="0.25">
      <c r="B828" s="31"/>
      <c r="C828" s="50"/>
      <c r="D828" s="50"/>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row>
    <row r="829" spans="2:51" x14ac:dyDescent="0.25">
      <c r="B829" s="31"/>
      <c r="C829" s="50"/>
      <c r="D829" s="50"/>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row>
    <row r="830" spans="2:51" x14ac:dyDescent="0.25">
      <c r="B830" s="31"/>
      <c r="C830" s="50"/>
      <c r="D830" s="50"/>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row>
    <row r="831" spans="2:51" x14ac:dyDescent="0.25">
      <c r="B831" s="31"/>
      <c r="C831" s="50"/>
      <c r="D831" s="50"/>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row>
    <row r="832" spans="2:51" x14ac:dyDescent="0.25">
      <c r="B832" s="31"/>
      <c r="C832" s="50"/>
      <c r="D832" s="50"/>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row>
    <row r="833" spans="1:51" x14ac:dyDescent="0.25">
      <c r="B833" s="31"/>
      <c r="C833" s="50"/>
      <c r="D833" s="50"/>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row>
    <row r="834" spans="1:51" x14ac:dyDescent="0.25">
      <c r="B834" s="31"/>
      <c r="C834" s="50"/>
      <c r="D834" s="50"/>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row>
    <row r="835" spans="1:51" x14ac:dyDescent="0.25">
      <c r="B835" s="31"/>
      <c r="C835" s="50"/>
      <c r="D835" s="50"/>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row>
    <row r="836" spans="1:51" x14ac:dyDescent="0.25">
      <c r="B836" s="31"/>
      <c r="C836" s="50"/>
      <c r="D836" s="50"/>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row>
    <row r="837" spans="1:51" x14ac:dyDescent="0.25">
      <c r="B837" s="31"/>
      <c r="C837" s="50"/>
      <c r="D837" s="50"/>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row>
    <row r="838" spans="1:51" x14ac:dyDescent="0.25">
      <c r="B838" s="31"/>
      <c r="C838" s="50"/>
      <c r="D838" s="50"/>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row>
    <row r="839" spans="1:51" x14ac:dyDescent="0.25">
      <c r="B839" s="31"/>
      <c r="C839" s="50"/>
      <c r="D839" s="50"/>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row>
    <row r="840" spans="1:51" x14ac:dyDescent="0.25">
      <c r="B840" s="31"/>
      <c r="C840" s="50"/>
      <c r="D840" s="50"/>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row>
    <row r="841" spans="1:51" x14ac:dyDescent="0.25">
      <c r="B841" s="31"/>
      <c r="C841" s="50"/>
      <c r="D841" s="50"/>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row>
    <row r="842" spans="1:51" x14ac:dyDescent="0.25">
      <c r="B842" s="31"/>
      <c r="C842" s="50"/>
      <c r="D842" s="50"/>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row>
    <row r="843" spans="1:51" x14ac:dyDescent="0.25">
      <c r="B843" s="31"/>
      <c r="C843" s="50"/>
      <c r="D843" s="50"/>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row>
    <row r="844" spans="1:51" x14ac:dyDescent="0.25">
      <c r="B844" s="31"/>
      <c r="C844" s="50"/>
      <c r="D844" s="50"/>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row>
    <row r="845" spans="1:51" x14ac:dyDescent="0.25">
      <c r="B845" s="31"/>
      <c r="C845" s="50"/>
      <c r="D845" s="50"/>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row>
    <row r="846" spans="1:51" x14ac:dyDescent="0.25">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row>
    <row r="847" spans="1:51" ht="33.75" customHeight="1" x14ac:dyDescent="0.25">
      <c r="A847" s="26"/>
      <c r="B847" s="66" t="s">
        <v>1</v>
      </c>
      <c r="C847" s="67"/>
      <c r="D847" s="67"/>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row>
    <row r="848" spans="1:51" x14ac:dyDescent="0.25">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row>
    <row r="849" spans="2:51" x14ac:dyDescent="0.25">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row>
    <row r="850" spans="2:51" x14ac:dyDescent="0.25">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row>
    <row r="851" spans="2:51" x14ac:dyDescent="0.25">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row>
    <row r="852" spans="2:51" x14ac:dyDescent="0.25">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row>
    <row r="853" spans="2:51" x14ac:dyDescent="0.25">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row>
    <row r="854" spans="2:51" x14ac:dyDescent="0.25">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row>
    <row r="855" spans="2:51" x14ac:dyDescent="0.25">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row>
    <row r="856" spans="2:51" x14ac:dyDescent="0.25">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row>
    <row r="857" spans="2:51" x14ac:dyDescent="0.25">
      <c r="B857" s="30" t="s">
        <v>1</v>
      </c>
      <c r="C857" s="37" t="s">
        <v>129</v>
      </c>
      <c r="D857" s="37" t="s">
        <v>129</v>
      </c>
      <c r="E857" s="37" t="s">
        <v>129</v>
      </c>
      <c r="F857" s="37" t="s">
        <v>129</v>
      </c>
      <c r="G857" s="37" t="s">
        <v>129</v>
      </c>
      <c r="H857" s="37" t="s">
        <v>129</v>
      </c>
      <c r="I857" s="70" t="s">
        <v>129</v>
      </c>
      <c r="J857" s="70" t="s">
        <v>129</v>
      </c>
      <c r="K857" s="37" t="s">
        <v>129</v>
      </c>
      <c r="L857" s="35"/>
      <c r="N857" s="31"/>
      <c r="O857" s="31"/>
      <c r="S857" s="38"/>
      <c r="T857" s="38"/>
      <c r="U857" s="38"/>
      <c r="V857" s="38"/>
      <c r="W857" s="38"/>
      <c r="X857" s="38"/>
      <c r="Y857" s="38"/>
      <c r="Z857" s="38"/>
      <c r="AA857" s="38"/>
      <c r="AB857" s="38"/>
      <c r="AC857" s="38"/>
      <c r="AD857" s="38"/>
      <c r="AE857" s="38"/>
      <c r="AF857" s="38"/>
      <c r="AG857" s="38"/>
      <c r="AH857" s="38"/>
      <c r="AI857" s="26"/>
      <c r="AJ857" s="26"/>
      <c r="AK857" s="26"/>
      <c r="AL857" s="26"/>
      <c r="AM857" s="26"/>
      <c r="AN857" s="26"/>
      <c r="AO857" s="26"/>
      <c r="AP857" s="26"/>
      <c r="AQ857" s="26"/>
      <c r="AR857" s="26"/>
      <c r="AS857" s="26"/>
      <c r="AT857" s="26"/>
      <c r="AU857" s="26"/>
      <c r="AV857" s="26"/>
      <c r="AW857" s="26"/>
      <c r="AX857" s="26"/>
      <c r="AY857" s="26"/>
    </row>
    <row r="858" spans="2:51" x14ac:dyDescent="0.25">
      <c r="B858" s="14"/>
      <c r="C858" s="77" t="s">
        <v>169</v>
      </c>
      <c r="D858" s="77" t="s">
        <v>170</v>
      </c>
      <c r="E858" s="77" t="s">
        <v>171</v>
      </c>
      <c r="F858" s="77" t="s">
        <v>172</v>
      </c>
      <c r="G858" s="77" t="s">
        <v>173</v>
      </c>
      <c r="H858" s="77" t="s">
        <v>174</v>
      </c>
      <c r="I858" s="78" t="s">
        <v>175</v>
      </c>
      <c r="J858" s="77" t="s">
        <v>176</v>
      </c>
      <c r="K858" s="77" t="s">
        <v>156</v>
      </c>
      <c r="L858" s="35"/>
      <c r="N858" s="31"/>
      <c r="O858" s="31"/>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row>
    <row r="859" spans="2:51" x14ac:dyDescent="0.25">
      <c r="B859" s="32" t="s">
        <v>177</v>
      </c>
      <c r="C859" s="12" t="e">
        <f>SUM(#REF!)+#REF!</f>
        <v>#REF!</v>
      </c>
      <c r="D859" s="12" t="e">
        <f>SUM(#REF!)</f>
        <v>#REF!</v>
      </c>
      <c r="E859" s="12" t="e">
        <f>SUM(#REF!)</f>
        <v>#REF!</v>
      </c>
      <c r="F859" s="12" t="e">
        <f>SUM(#REF!)</f>
        <v>#REF!</v>
      </c>
      <c r="G859" s="12" t="e">
        <f>SUM(#REF!)</f>
        <v>#REF!</v>
      </c>
      <c r="H859" s="12" t="e">
        <f>SUM(#REF!)+#REF!</f>
        <v>#REF!</v>
      </c>
      <c r="I859" s="12" t="e">
        <f>SUM(#REF!)</f>
        <v>#REF!</v>
      </c>
      <c r="J859" s="12" t="e">
        <f>SUM(#REF!)</f>
        <v>#REF!</v>
      </c>
      <c r="K859" s="12" t="e">
        <f>#REF!*#REF!/100+#REF!</f>
        <v>#REF!</v>
      </c>
      <c r="L859" s="35"/>
      <c r="N859" s="46"/>
      <c r="O859" s="4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row>
    <row r="860" spans="2:51" x14ac:dyDescent="0.25">
      <c r="B860" s="32" t="s">
        <v>132</v>
      </c>
      <c r="C860" s="12"/>
      <c r="D860" s="12"/>
      <c r="E860" s="12"/>
      <c r="F860" s="12"/>
      <c r="G860" s="12"/>
      <c r="H860" s="12" t="e">
        <f>#REF!*#REF!/100</f>
        <v>#REF!</v>
      </c>
      <c r="I860" s="73"/>
      <c r="J860" s="73"/>
      <c r="K860" s="12"/>
      <c r="L860" s="35"/>
      <c r="N860" s="46"/>
      <c r="O860" s="4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row>
    <row r="861" spans="2:51" x14ac:dyDescent="0.25">
      <c r="B861" s="32" t="s">
        <v>133</v>
      </c>
      <c r="C861" s="12" t="e">
        <f>#REF!+#REF!</f>
        <v>#REF!</v>
      </c>
      <c r="D861" s="12" t="e">
        <f>#REF!</f>
        <v>#REF!</v>
      </c>
      <c r="E861" s="12" t="e">
        <f>#REF!</f>
        <v>#REF!</v>
      </c>
      <c r="F861" s="12" t="e">
        <f>#REF!</f>
        <v>#REF!</v>
      </c>
      <c r="G861" s="12" t="e">
        <f>#REF!</f>
        <v>#REF!</v>
      </c>
      <c r="H861" s="12" t="e">
        <f>#REF!+#REF!*#REF!/100+#REF!*#REF!/100</f>
        <v>#REF!</v>
      </c>
      <c r="I861" s="12" t="e">
        <f>#REF!</f>
        <v>#REF!</v>
      </c>
      <c r="J861" s="12" t="e">
        <f>#REF!</f>
        <v>#REF!</v>
      </c>
      <c r="K861" s="12" t="e">
        <f>#REF!</f>
        <v>#REF!</v>
      </c>
      <c r="L861" s="35"/>
      <c r="N861" s="46"/>
      <c r="O861" s="4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row>
    <row r="862" spans="2:51" x14ac:dyDescent="0.25">
      <c r="B862" s="32" t="s">
        <v>134</v>
      </c>
      <c r="C862" s="12"/>
      <c r="D862" s="12"/>
      <c r="E862" s="12"/>
      <c r="F862" s="12"/>
      <c r="G862" s="12"/>
      <c r="H862" s="12" t="e">
        <f>#REF!*#REF!/100</f>
        <v>#REF!</v>
      </c>
      <c r="I862" s="73"/>
      <c r="J862" s="73"/>
      <c r="K862" s="12" t="e">
        <f>#REF!*#REF!/100</f>
        <v>#REF!</v>
      </c>
      <c r="L862" s="35"/>
      <c r="N862" s="46"/>
      <c r="O862" s="4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row>
    <row r="863" spans="2:51" x14ac:dyDescent="0.25">
      <c r="B863" s="32" t="s">
        <v>135</v>
      </c>
      <c r="C863" s="12" t="e">
        <f>#REF!</f>
        <v>#REF!</v>
      </c>
      <c r="D863" s="12"/>
      <c r="E863" s="12"/>
      <c r="F863" s="12"/>
      <c r="G863" s="12"/>
      <c r="H863" s="12" t="e">
        <f>SUM(#REF!)*#REF!/100+SUM(#REF!)*#REF!/100</f>
        <v>#REF!</v>
      </c>
      <c r="I863" s="73"/>
      <c r="J863" s="73" t="e">
        <f>#REF!</f>
        <v>#REF!</v>
      </c>
      <c r="K863" s="12" t="e">
        <f>#REF!*#REF!/100+#REF!*#REF!/100+#REF!*#REF!/100+#REF!*#REF!/100+#REF!*#REF!/100+#REF!*#REF!/100</f>
        <v>#REF!</v>
      </c>
      <c r="L863" s="35"/>
      <c r="N863" s="46"/>
      <c r="O863" s="4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row>
    <row r="864" spans="2:51" x14ac:dyDescent="0.25">
      <c r="B864" s="32" t="s">
        <v>137</v>
      </c>
      <c r="C864" s="12"/>
      <c r="D864" s="12"/>
      <c r="E864" s="12"/>
      <c r="F864" s="12"/>
      <c r="G864" s="12"/>
      <c r="H864" s="12" t="e">
        <f>#REF!*#REF!/100</f>
        <v>#REF!</v>
      </c>
      <c r="I864" s="73"/>
      <c r="J864" s="73"/>
      <c r="K864" s="12" t="e">
        <f>#REF!*#REF!/100+#REF!*#REF!/100</f>
        <v>#REF!</v>
      </c>
      <c r="L864" s="35"/>
      <c r="N864" s="46"/>
      <c r="O864" s="4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row>
    <row r="865" spans="2:51" x14ac:dyDescent="0.25">
      <c r="B865" s="32" t="s">
        <v>136</v>
      </c>
      <c r="C865" s="12"/>
      <c r="D865" s="12"/>
      <c r="E865" s="12"/>
      <c r="F865" s="12"/>
      <c r="G865" s="12"/>
      <c r="H865" s="12"/>
      <c r="I865" s="73"/>
      <c r="J865" s="73"/>
      <c r="K865" s="12" t="e">
        <f>#REF!*#REF!/100</f>
        <v>#REF!</v>
      </c>
      <c r="L865" s="35"/>
      <c r="N865" s="46"/>
      <c r="O865" s="4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row>
    <row r="866" spans="2:51" x14ac:dyDescent="0.25">
      <c r="B866" s="32" t="s">
        <v>138</v>
      </c>
      <c r="C866" s="12"/>
      <c r="D866" s="12"/>
      <c r="E866" s="12"/>
      <c r="F866" s="12"/>
      <c r="G866" s="12"/>
      <c r="H866" s="12" t="e">
        <f>#REF!*#REF!/100</f>
        <v>#REF!</v>
      </c>
      <c r="I866" s="73"/>
      <c r="J866" s="73"/>
      <c r="K866" s="12"/>
      <c r="L866" s="35"/>
      <c r="N866" s="46"/>
      <c r="O866" s="4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row>
    <row r="867" spans="2:51" x14ac:dyDescent="0.25">
      <c r="B867" s="32" t="s">
        <v>178</v>
      </c>
      <c r="C867" s="12"/>
      <c r="D867" s="12"/>
      <c r="E867" s="12"/>
      <c r="F867" s="12"/>
      <c r="G867" s="12"/>
      <c r="H867" s="12"/>
      <c r="I867" s="73"/>
      <c r="J867" s="73" t="e">
        <f>#REF!*#REF!/100</f>
        <v>#REF!</v>
      </c>
      <c r="K867" s="12" t="e">
        <f>#REF!*#REF!/100+#REF!*#REF!/100+#REF!*#REF!/100+#REF!*#REF!/100+#REF!*#REF!/100</f>
        <v>#REF!</v>
      </c>
      <c r="L867" s="35"/>
      <c r="N867" s="46"/>
      <c r="O867" s="4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row>
    <row r="868" spans="2:51" x14ac:dyDescent="0.25">
      <c r="B868" s="32" t="s">
        <v>141</v>
      </c>
      <c r="C868" s="12" t="e">
        <f>SUM(#REF!)</f>
        <v>#REF!</v>
      </c>
      <c r="D868" s="12"/>
      <c r="E868" s="12"/>
      <c r="F868" s="12"/>
      <c r="G868" s="12"/>
      <c r="H868" s="12" t="e">
        <f>SUM(#REF!)*#REF!/100</f>
        <v>#REF!</v>
      </c>
      <c r="I868" s="73"/>
      <c r="J868" s="73"/>
      <c r="K868" s="12"/>
      <c r="L868" s="35"/>
      <c r="N868" s="46"/>
      <c r="O868" s="4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row>
    <row r="869" spans="2:51" x14ac:dyDescent="0.25">
      <c r="B869" s="32" t="s">
        <v>179</v>
      </c>
      <c r="C869" s="12" t="e">
        <f>#REF!+#REF!+#REF!+#REF!+#REF!+#REF!</f>
        <v>#REF!</v>
      </c>
      <c r="D869" s="12" t="e">
        <f>#REF!+#REF!+#REF!+#REF!+#REF!+#REF!</f>
        <v>#REF!</v>
      </c>
      <c r="E869" s="12" t="e">
        <f>#REF!+#REF!+#REF!+#REF!+#REF!+#REF!</f>
        <v>#REF!</v>
      </c>
      <c r="F869" s="12" t="e">
        <f>#REF!+#REF!+#REF!+#REF!+#REF!+#REF!</f>
        <v>#REF!</v>
      </c>
      <c r="G869" s="12" t="e">
        <f>#REF!+#REF!+#REF!+#REF!+#REF!+#REF!</f>
        <v>#REF!</v>
      </c>
      <c r="H869" s="12" t="e">
        <f>#REF!+#REF!+#REF!+#REF!+#REF!+#REF!</f>
        <v>#REF!</v>
      </c>
      <c r="I869" s="12" t="e">
        <f>#REF!+#REF!+#REF!+#REF!+#REF!+#REF!</f>
        <v>#REF!</v>
      </c>
      <c r="J869" s="12" t="e">
        <f>#REF!+#REF!+#REF!+#REF!+#REF!+#REF!</f>
        <v>#REF!</v>
      </c>
      <c r="K869" s="12"/>
      <c r="L869" s="35"/>
      <c r="N869" s="46"/>
      <c r="O869" s="4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row>
    <row r="870" spans="2:51" x14ac:dyDescent="0.25">
      <c r="B870" s="32" t="s">
        <v>211</v>
      </c>
      <c r="C870" s="12"/>
      <c r="D870" s="12"/>
      <c r="E870" s="12"/>
      <c r="F870" s="12"/>
      <c r="G870" s="12"/>
      <c r="H870" s="12" t="e">
        <f>(-#REF!)</f>
        <v>#REF!</v>
      </c>
      <c r="I870" s="73"/>
      <c r="J870" s="73"/>
      <c r="K870" s="12"/>
      <c r="L870" s="35"/>
      <c r="N870" s="46"/>
      <c r="O870" s="4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row>
    <row r="871" spans="2:51" x14ac:dyDescent="0.25">
      <c r="B871" s="32" t="s">
        <v>143</v>
      </c>
      <c r="C871" s="12"/>
      <c r="D871" s="12"/>
      <c r="E871" s="12"/>
      <c r="F871" s="12"/>
      <c r="G871" s="12"/>
      <c r="H871" s="12" t="e">
        <f>(#REF!+#REF!+#REF!+#REF!)*#REF!/100</f>
        <v>#REF!</v>
      </c>
      <c r="I871" s="73"/>
      <c r="J871" s="73"/>
      <c r="K871" s="12"/>
      <c r="L871" s="35"/>
      <c r="N871" s="46"/>
      <c r="O871" s="4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row>
    <row r="872" spans="2:51" x14ac:dyDescent="0.25">
      <c r="B872" s="32" t="s">
        <v>180</v>
      </c>
      <c r="C872" s="12" t="e">
        <f>#REF!+#REF!</f>
        <v>#REF!</v>
      </c>
      <c r="D872" s="12"/>
      <c r="E872" s="12"/>
      <c r="F872" s="12"/>
      <c r="G872" s="12"/>
      <c r="H872" s="12"/>
      <c r="I872" s="73"/>
      <c r="J872" s="73"/>
      <c r="K872" s="12"/>
      <c r="L872" s="35"/>
      <c r="N872" s="46"/>
      <c r="O872" s="4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row>
    <row r="873" spans="2:51" x14ac:dyDescent="0.25">
      <c r="B873" s="55" t="s">
        <v>147</v>
      </c>
      <c r="C873" s="56" t="e">
        <f t="shared" ref="C873:K873" si="4">SUM(C859:C872)</f>
        <v>#REF!</v>
      </c>
      <c r="D873" s="56" t="e">
        <f t="shared" si="4"/>
        <v>#REF!</v>
      </c>
      <c r="E873" s="56" t="e">
        <f t="shared" si="4"/>
        <v>#REF!</v>
      </c>
      <c r="F873" s="56" t="e">
        <f t="shared" si="4"/>
        <v>#REF!</v>
      </c>
      <c r="G873" s="56" t="e">
        <f t="shared" si="4"/>
        <v>#REF!</v>
      </c>
      <c r="H873" s="56" t="e">
        <f t="shared" si="4"/>
        <v>#REF!</v>
      </c>
      <c r="I873" s="74" t="e">
        <f t="shared" si="4"/>
        <v>#REF!</v>
      </c>
      <c r="J873" s="74" t="e">
        <f t="shared" si="4"/>
        <v>#REF!</v>
      </c>
      <c r="K873" s="56" t="e">
        <f t="shared" si="4"/>
        <v>#REF!</v>
      </c>
      <c r="L873" s="80"/>
      <c r="M873" s="81"/>
      <c r="N873" s="50"/>
      <c r="O873" s="50"/>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row>
    <row r="874" spans="2:51" x14ac:dyDescent="0.25">
      <c r="B874" s="31"/>
      <c r="C874" s="16"/>
      <c r="D874" s="16"/>
      <c r="E874" s="16"/>
      <c r="F874" s="16"/>
      <c r="G874" s="16"/>
      <c r="H874" s="16"/>
      <c r="I874" s="16"/>
      <c r="J874" s="16"/>
      <c r="K874" s="16"/>
      <c r="M874" s="102"/>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row>
    <row r="875" spans="2:51" x14ac:dyDescent="0.25">
      <c r="B875" s="31"/>
      <c r="C875" s="102"/>
      <c r="D875" s="102"/>
      <c r="E875" s="102"/>
      <c r="F875" s="102"/>
      <c r="G875" s="102"/>
      <c r="H875" s="102"/>
      <c r="I875" s="102"/>
      <c r="J875" s="102"/>
      <c r="K875" s="102"/>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row>
    <row r="876" spans="2:51" x14ac:dyDescent="0.25">
      <c r="B876" s="59" t="s">
        <v>233</v>
      </c>
      <c r="C876" s="50"/>
      <c r="D876" s="50"/>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row>
    <row r="877" spans="2:51" x14ac:dyDescent="0.25">
      <c r="B877" s="59"/>
      <c r="C877" s="50"/>
      <c r="D877" s="50"/>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row>
    <row r="878" spans="2:51" x14ac:dyDescent="0.25">
      <c r="B878" s="31"/>
      <c r="C878" s="50"/>
      <c r="D878" s="50"/>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row>
    <row r="879" spans="2:51" x14ac:dyDescent="0.25">
      <c r="B879" s="31"/>
      <c r="C879" s="50"/>
      <c r="D879" s="50"/>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row>
    <row r="880" spans="2:51" x14ac:dyDescent="0.25">
      <c r="B880" s="31"/>
      <c r="C880" s="50"/>
      <c r="D880" s="50"/>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row>
    <row r="881" spans="2:51" x14ac:dyDescent="0.25">
      <c r="B881" s="31"/>
      <c r="C881" s="50"/>
      <c r="D881" s="50"/>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row>
    <row r="882" spans="2:51" x14ac:dyDescent="0.25">
      <c r="B882" s="31"/>
      <c r="C882" s="50"/>
      <c r="D882" s="50"/>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row>
    <row r="883" spans="2:51" x14ac:dyDescent="0.25">
      <c r="B883" s="31"/>
      <c r="C883" s="50"/>
      <c r="D883" s="50"/>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row>
    <row r="884" spans="2:51" x14ac:dyDescent="0.25">
      <c r="B884" s="31"/>
      <c r="C884" s="50"/>
      <c r="D884" s="50"/>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row>
    <row r="885" spans="2:51" x14ac:dyDescent="0.25">
      <c r="B885" s="31"/>
      <c r="C885" s="50"/>
      <c r="D885" s="50"/>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row>
    <row r="886" spans="2:51" x14ac:dyDescent="0.25">
      <c r="B886" s="31"/>
      <c r="C886" s="50"/>
      <c r="D886" s="50"/>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row>
    <row r="887" spans="2:51" x14ac:dyDescent="0.25">
      <c r="B887" s="31"/>
      <c r="C887" s="50"/>
      <c r="D887" s="50"/>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row>
    <row r="888" spans="2:51" x14ac:dyDescent="0.25">
      <c r="B888" s="31"/>
      <c r="C888" s="50"/>
      <c r="D888" s="50"/>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row>
    <row r="889" spans="2:51" x14ac:dyDescent="0.25">
      <c r="B889" s="31"/>
      <c r="C889" s="50"/>
      <c r="D889" s="50"/>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row>
    <row r="890" spans="2:51" x14ac:dyDescent="0.25">
      <c r="B890" s="31"/>
      <c r="C890" s="50"/>
      <c r="D890" s="50"/>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row>
    <row r="891" spans="2:51" x14ac:dyDescent="0.25">
      <c r="B891" s="31"/>
      <c r="C891" s="50"/>
      <c r="D891" s="50"/>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row>
    <row r="892" spans="2:51" x14ac:dyDescent="0.25">
      <c r="B892" s="31"/>
      <c r="C892" s="50"/>
      <c r="D892" s="50"/>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row>
    <row r="893" spans="2:51" x14ac:dyDescent="0.25">
      <c r="B893" s="31"/>
      <c r="C893" s="50"/>
      <c r="D893" s="50"/>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row>
    <row r="894" spans="2:51" x14ac:dyDescent="0.25">
      <c r="B894" s="31"/>
      <c r="C894" s="50"/>
      <c r="D894" s="50"/>
      <c r="S894" s="38"/>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row>
    <row r="895" spans="2:51" x14ac:dyDescent="0.25">
      <c r="B895" s="31"/>
      <c r="C895" s="50"/>
      <c r="D895" s="50"/>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row>
    <row r="896" spans="2:51" x14ac:dyDescent="0.25">
      <c r="B896" s="31"/>
      <c r="C896" s="50"/>
      <c r="D896" s="50"/>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row>
    <row r="897" spans="2:51" x14ac:dyDescent="0.25">
      <c r="B897" s="31"/>
      <c r="C897" s="50"/>
      <c r="D897" s="50"/>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row>
    <row r="898" spans="2:51" x14ac:dyDescent="0.25">
      <c r="C898" s="50"/>
      <c r="D898" s="50"/>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row>
    <row r="899" spans="2:51" x14ac:dyDescent="0.25">
      <c r="C899" s="50"/>
      <c r="D899" s="50"/>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row>
    <row r="900" spans="2:51" x14ac:dyDescent="0.25">
      <c r="B900" s="31"/>
      <c r="C900" s="50"/>
      <c r="D900" s="50"/>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row>
    <row r="901" spans="2:51" x14ac:dyDescent="0.25">
      <c r="C901" s="50"/>
      <c r="D901" s="50"/>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row>
    <row r="902" spans="2:51" x14ac:dyDescent="0.25">
      <c r="B902" s="31"/>
      <c r="C902" s="50"/>
      <c r="D902" s="50"/>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row>
    <row r="903" spans="2:51" x14ac:dyDescent="0.25">
      <c r="B903" s="31"/>
      <c r="C903" s="50"/>
      <c r="D903" s="50"/>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row>
    <row r="904" spans="2:51" x14ac:dyDescent="0.25">
      <c r="B904" s="31"/>
      <c r="C904" s="50"/>
      <c r="D904" s="50"/>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row>
    <row r="905" spans="2:51" x14ac:dyDescent="0.25">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row>
    <row r="906" spans="2:51" x14ac:dyDescent="0.25">
      <c r="B906" s="31"/>
      <c r="C906" s="50"/>
      <c r="D906" s="50"/>
      <c r="J906" s="35"/>
      <c r="K906" s="35"/>
      <c r="L906" s="35"/>
      <c r="M906" s="35"/>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row>
    <row r="907" spans="2:51" x14ac:dyDescent="0.25">
      <c r="B907" s="31"/>
      <c r="C907" s="50"/>
      <c r="D907" s="50"/>
      <c r="J907" s="35"/>
      <c r="K907" s="35"/>
      <c r="L907" s="35"/>
      <c r="M907" s="35"/>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row>
    <row r="908" spans="2:51" x14ac:dyDescent="0.25">
      <c r="B908" s="31"/>
      <c r="C908" s="50"/>
      <c r="D908" s="50"/>
      <c r="J908" s="35"/>
      <c r="K908" s="35"/>
      <c r="L908" s="35"/>
      <c r="M908" s="35"/>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row>
    <row r="909" spans="2:51" x14ac:dyDescent="0.25">
      <c r="B909" s="31"/>
      <c r="C909" s="50"/>
      <c r="D909" s="50"/>
      <c r="J909" s="35"/>
      <c r="K909" s="35"/>
      <c r="L909" s="35"/>
      <c r="M909" s="35"/>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row>
    <row r="910" spans="2:51" x14ac:dyDescent="0.25">
      <c r="B910" s="30" t="s">
        <v>181</v>
      </c>
      <c r="C910" s="37" t="s">
        <v>129</v>
      </c>
      <c r="D910" s="37" t="s">
        <v>129</v>
      </c>
      <c r="E910" s="37" t="s">
        <v>129</v>
      </c>
      <c r="F910" s="286"/>
      <c r="G910" s="286"/>
      <c r="H910" s="28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row>
    <row r="911" spans="2:51" x14ac:dyDescent="0.25">
      <c r="B911" s="14"/>
      <c r="C911" s="30">
        <v>2018</v>
      </c>
      <c r="D911" s="30" t="s">
        <v>223</v>
      </c>
      <c r="E911" s="30" t="s">
        <v>224</v>
      </c>
      <c r="F911" s="287"/>
      <c r="G911" s="287"/>
      <c r="H911" s="287"/>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row>
    <row r="912" spans="2:51" x14ac:dyDescent="0.25">
      <c r="B912" s="32" t="s">
        <v>179</v>
      </c>
      <c r="C912" s="12">
        <f>'2018'!$AI$39+'2018'!$AI$43+'2018'!$AI$52+'2018'!$AI$55+'2018'!$AI$62+'2018'!$AI$71+'2018'!$AJ$39+'2018'!$AJ$43+'2018'!$AJ$52+'2018'!$AJ$55+'2018'!$AJ$62+'2018'!$AJ$71+'2018'!$AK$39+'2018'!$AK$43+'2018'!$AK$52+'2018'!$AK$55+'2018'!$AK$62+'2018'!$AK$71+'2018'!$AL$39+'2018'!$AL$43+'2018'!$AL$52+'2018'!$AL$55+'2018'!$AL$62+'2018'!$AL$71+'2018'!$AM$39+'2018'!$AM$43+'2018'!$AM$52+'2018'!$AM$55+'2018'!$AM$62+'2018'!$AM$71+'2018'!$AN$39+'2018'!$AN$43+'2018'!$AN$52+'2018'!$AN$55+'2018'!$AN$62+'2018'!$AN$71+'2018'!$AO$39+'2018'!$AO$43+'2018'!$AO$52+'2018'!$AO$55+'2018'!$AO$62+'2018'!$AO$71+'2018'!$AP$39+'2018'!$AP$43+'2018'!$AP$52+'2018'!$AP$55+'2018'!$AP$62+'2018'!$AP$71</f>
        <v>1770.1573696406606</v>
      </c>
      <c r="D912" s="12">
        <f>'BAU2030'!$AI$39+'BAU2030'!$AI$43+'BAU2030'!$AI$52+'BAU2030'!$AI$55+'BAU2030'!$AI$62+'BAU2030'!$AI$71+'BAU2030'!$AJ$39+'BAU2030'!$AJ$43+'BAU2030'!$AJ$52+'BAU2030'!$AJ$55+'BAU2030'!$AJ$62+'BAU2030'!$AJ$71+'BAU2030'!$AK$39+'BAU2030'!$AK$43+'BAU2030'!$AK$52+'BAU2030'!$AK$55+'BAU2030'!$AK$62+'BAU2030'!$AK$71+'BAU2030'!$AL$39+'BAU2030'!$AL$43+'BAU2030'!$AL$52+'BAU2030'!$AL$55+'BAU2030'!$AL$62+'BAU2030'!$AL$71+'BAU2030'!$AM$39+'BAU2030'!$AM$43+'BAU2030'!$AM$52+'BAU2030'!$AM$55+'BAU2030'!$AM$62+'BAU2030'!$AM$71+'BAU2030'!$AN$39+'BAU2030'!$AN$43+'BAU2030'!$AN$52+'BAU2030'!$AN$55+'BAU2030'!$AN$62+'BAU2030'!$AN$71+'BAU2030'!$AO$39+'BAU2030'!$AO$43+'BAU2030'!$AO$52+'BAU2030'!$AO$55+'BAU2030'!$AO$62+'BAU2030'!$AO$71+'BAU2030'!$AP$39+'BAU2030'!$AP$43+'BAU2030'!$AP$52+'BAU2030'!$AP$55+'BAU2030'!$AP$62+'BAU2030'!$AP$71</f>
        <v>1690.2238269668599</v>
      </c>
      <c r="E912" s="12">
        <f>'BAU2050'!$AI$39+'BAU2050'!$AI$43+'BAU2050'!$AI$52+'BAU2050'!$AI$55+'BAU2050'!$AI$62+'BAU2050'!$AI$71+'BAU2050'!$AJ$39+'BAU2050'!$AJ$43+'BAU2050'!$AJ$52+'BAU2050'!$AJ$55+'BAU2050'!$AJ$62+'BAU2050'!$AJ$71+'BAU2050'!$AK$39+'BAU2050'!$AK$43+'BAU2050'!$AK$52+'BAU2050'!$AK$55+'BAU2050'!$AK$62+'BAU2050'!$AK$71+'BAU2050'!$AL$39+'BAU2050'!$AL$43+'BAU2050'!$AL$52+'BAU2050'!$AL$55+'BAU2050'!$AL$62+'BAU2050'!$AL$71+'BAU2050'!$AM$39+'BAU2050'!$AM$43+'BAU2050'!$AM$52+'BAU2050'!$AM$55+'BAU2050'!$AM$62+'BAU2050'!$AM$71+'BAU2050'!$AN$39+'BAU2050'!$AN$43+'BAU2050'!$AN$52+'BAU2050'!$AN$55+'BAU2050'!$AN$62+'BAU2050'!$AN$71+'BAU2050'!$AO$39+'BAU2050'!$AO$43+'BAU2050'!$AO$52+'BAU2050'!$AO$55+'BAU2050'!$AO$62+'BAU2050'!$AO$71+'BAU2050'!$AP$39+'BAU2050'!$AP$43+'BAU2050'!$AP$52+'BAU2050'!$AP$55+'BAU2050'!$AP$62+'BAU2050'!$AP$71</f>
        <v>1588.7534030977215</v>
      </c>
      <c r="F912" s="289"/>
      <c r="G912" s="289"/>
      <c r="H912" s="289"/>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row>
    <row r="913" spans="2:51" x14ac:dyDescent="0.25">
      <c r="B913" s="32" t="s">
        <v>182</v>
      </c>
      <c r="C913" s="12">
        <f>'2018'!$AI$18</f>
        <v>303.875</v>
      </c>
      <c r="D913" s="12">
        <f>'BAU2030'!$AI$18</f>
        <v>233.37599999999998</v>
      </c>
      <c r="E913" s="12">
        <f>'BAU2050'!$AI$18</f>
        <v>233.37599999999998</v>
      </c>
      <c r="F913" s="289"/>
      <c r="G913" s="289"/>
      <c r="H913" s="289"/>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row>
    <row r="914" spans="2:51" x14ac:dyDescent="0.25">
      <c r="B914" s="14" t="s">
        <v>183</v>
      </c>
      <c r="C914" s="12">
        <f>'2018'!$AI$17</f>
        <v>116.56</v>
      </c>
      <c r="D914" s="12">
        <f>'BAU2030'!$AI$17</f>
        <v>33.569279999999999</v>
      </c>
      <c r="E914" s="12">
        <f>'BAU2050'!$AI$17</f>
        <v>0</v>
      </c>
      <c r="F914" s="289"/>
      <c r="G914" s="289"/>
      <c r="H914" s="289"/>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row>
    <row r="915" spans="2:51" x14ac:dyDescent="0.25">
      <c r="B915" s="14" t="s">
        <v>184</v>
      </c>
      <c r="C915" s="12">
        <f>'2018'!$AI$19</f>
        <v>294.75</v>
      </c>
      <c r="D915" s="12">
        <f>'BAU2030'!$AI$19</f>
        <v>302.08349999999996</v>
      </c>
      <c r="E915" s="12">
        <f>'BAU2050'!$AI$19</f>
        <v>292.57499999999999</v>
      </c>
      <c r="F915" s="289"/>
      <c r="G915" s="289"/>
      <c r="H915" s="289"/>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row>
    <row r="916" spans="2:51" x14ac:dyDescent="0.25">
      <c r="B916" s="14" t="s">
        <v>185</v>
      </c>
      <c r="C916" s="12">
        <f>'2018'!$AI$20</f>
        <v>235.3</v>
      </c>
      <c r="D916" s="12">
        <f>'BAU2030'!$AI$20</f>
        <v>225.88800000000001</v>
      </c>
      <c r="E916" s="12">
        <f>'BAU2050'!$AI$20</f>
        <v>211.77</v>
      </c>
      <c r="F916" s="289"/>
      <c r="G916" s="289"/>
      <c r="H916" s="289"/>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row>
    <row r="917" spans="2:51" x14ac:dyDescent="0.25">
      <c r="B917" s="14" t="s">
        <v>186</v>
      </c>
      <c r="C917" s="12">
        <f>'2018'!$AI$21</f>
        <v>57.655000000000001</v>
      </c>
      <c r="D917" s="12">
        <f>'BAU2030'!$AI$21</f>
        <v>55.348800000000004</v>
      </c>
      <c r="E917" s="12">
        <f>'BAU2050'!$AI$21</f>
        <v>51.889499999999998</v>
      </c>
      <c r="F917" s="289"/>
      <c r="G917" s="289"/>
      <c r="H917" s="289"/>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row>
    <row r="918" spans="2:51" x14ac:dyDescent="0.25">
      <c r="B918" s="32" t="s">
        <v>187</v>
      </c>
      <c r="C918" s="12">
        <f>'2018'!$AI$9/'2018'!$AB$9%+'2018'!$AI$10/'2018'!$AB$10%</f>
        <v>36.288888888888891</v>
      </c>
      <c r="D918" s="12">
        <f>'BAU2030'!$AI$9/'BAU2030'!$AB$9%+'BAU2030'!$AI$10/'BAU2030'!$AB$10%</f>
        <v>36.288888888888891</v>
      </c>
      <c r="E918" s="12">
        <f>'BAU2050'!$AI$9/'BAU2050'!$AB$9%+'BAU2050'!$AI$10/'BAU2050'!$AB$10%</f>
        <v>36.288888888888891</v>
      </c>
      <c r="F918" s="289"/>
      <c r="G918" s="289"/>
      <c r="H918" s="289"/>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row>
    <row r="919" spans="2:51" x14ac:dyDescent="0.25">
      <c r="B919" s="32" t="s">
        <v>188</v>
      </c>
      <c r="C919" s="12">
        <f>'2018'!$N$14+'2018'!$AE$14</f>
        <v>27</v>
      </c>
      <c r="D919" s="12">
        <f>'BAU2030'!$N$14+'BAU2030'!$AE$14</f>
        <v>274.47000000000003</v>
      </c>
      <c r="E919" s="12">
        <f>'BAU2050'!$N$14+'BAU2050'!$AE$14</f>
        <v>372</v>
      </c>
      <c r="F919" s="289"/>
      <c r="G919" s="289"/>
      <c r="H919" s="289"/>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row>
    <row r="920" spans="2:51" x14ac:dyDescent="0.25">
      <c r="B920" s="14" t="s">
        <v>189</v>
      </c>
      <c r="C920" s="12">
        <f>'2018'!$AI$22</f>
        <v>9.3000000000000007</v>
      </c>
      <c r="D920" s="12">
        <f>'BAU2030'!$AI$22</f>
        <v>9.3000000000000007</v>
      </c>
      <c r="E920" s="12">
        <f>'BAU2050'!$AI$22</f>
        <v>9.3000000000000007</v>
      </c>
      <c r="F920" s="289"/>
      <c r="G920" s="289"/>
      <c r="H920" s="289"/>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row>
    <row r="921" spans="2:51" x14ac:dyDescent="0.25">
      <c r="B921" s="55" t="s">
        <v>147</v>
      </c>
      <c r="C921" s="56">
        <f>SUM(C912:C920)</f>
        <v>2850.8862585295497</v>
      </c>
      <c r="D921" s="56">
        <f>SUM(D912:D920)</f>
        <v>2860.5482958557486</v>
      </c>
      <c r="E921" s="56">
        <f>SUM(E912:E920)</f>
        <v>2795.95279198661</v>
      </c>
      <c r="F921" s="290"/>
      <c r="G921" s="290"/>
      <c r="H921" s="290"/>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row>
    <row r="922" spans="2:51" x14ac:dyDescent="0.25">
      <c r="J922" s="35"/>
      <c r="K922" s="35"/>
      <c r="L922" s="35"/>
      <c r="M922" s="35"/>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row>
    <row r="923" spans="2:51" x14ac:dyDescent="0.25">
      <c r="J923" s="35"/>
      <c r="K923" s="35"/>
      <c r="L923" s="35"/>
      <c r="M923" s="35"/>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row>
    <row r="924" spans="2:51" x14ac:dyDescent="0.25">
      <c r="B924" s="59" t="s">
        <v>181</v>
      </c>
      <c r="J924" s="35"/>
      <c r="K924" s="35"/>
      <c r="L924" s="35"/>
      <c r="M924" s="35"/>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row>
    <row r="925" spans="2:51" x14ac:dyDescent="0.25">
      <c r="J925" s="35"/>
      <c r="K925" s="35"/>
      <c r="L925" s="35"/>
      <c r="M925" s="35"/>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row>
    <row r="926" spans="2:51" x14ac:dyDescent="0.25">
      <c r="J926" s="35"/>
      <c r="K926" s="35"/>
      <c r="L926" s="35"/>
      <c r="M926" s="35"/>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row>
    <row r="927" spans="2:51" x14ac:dyDescent="0.25">
      <c r="J927" s="35"/>
      <c r="K927" s="35"/>
      <c r="L927" s="35"/>
      <c r="M927" s="35"/>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row>
    <row r="928" spans="2:51" x14ac:dyDescent="0.25">
      <c r="J928" s="35"/>
      <c r="K928" s="35"/>
      <c r="L928" s="35"/>
      <c r="M928" s="35"/>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row>
    <row r="929" spans="10:51" x14ac:dyDescent="0.25">
      <c r="J929" s="35"/>
      <c r="K929" s="35"/>
      <c r="L929" s="35"/>
      <c r="M929" s="35"/>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row>
    <row r="930" spans="10:51" x14ac:dyDescent="0.25">
      <c r="J930" s="35"/>
      <c r="K930" s="35"/>
      <c r="L930" s="35"/>
      <c r="M930" s="35"/>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row>
    <row r="931" spans="10:51" x14ac:dyDescent="0.25">
      <c r="J931" s="35"/>
      <c r="K931" s="35"/>
      <c r="L931" s="35"/>
      <c r="M931" s="35"/>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row>
    <row r="932" spans="10:51" x14ac:dyDescent="0.25">
      <c r="J932" s="35"/>
      <c r="K932" s="35"/>
      <c r="L932" s="35"/>
      <c r="M932" s="35"/>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row>
    <row r="933" spans="10:51" x14ac:dyDescent="0.25">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row>
    <row r="934" spans="10:51" x14ac:dyDescent="0.25">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row>
    <row r="935" spans="10:51" x14ac:dyDescent="0.25">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row>
    <row r="936" spans="10:51" x14ac:dyDescent="0.25">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row>
    <row r="937" spans="10:51" x14ac:dyDescent="0.25">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row>
    <row r="938" spans="10:51" x14ac:dyDescent="0.25">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row>
    <row r="939" spans="10:51" x14ac:dyDescent="0.25">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row>
    <row r="940" spans="10:51" x14ac:dyDescent="0.25">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row>
    <row r="941" spans="10:51" x14ac:dyDescent="0.25">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row>
    <row r="942" spans="10:51" x14ac:dyDescent="0.25">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row>
    <row r="943" spans="10:51" x14ac:dyDescent="0.25">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row>
    <row r="944" spans="10:51" x14ac:dyDescent="0.25">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row>
    <row r="945" spans="2:51" x14ac:dyDescent="0.25">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row>
    <row r="946" spans="2:51" x14ac:dyDescent="0.25">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row>
    <row r="947" spans="2:51" x14ac:dyDescent="0.25">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row>
    <row r="948" spans="2:51" x14ac:dyDescent="0.25">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row>
    <row r="949" spans="2:51" x14ac:dyDescent="0.25">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row>
    <row r="950" spans="2:51" x14ac:dyDescent="0.25">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row>
    <row r="951" spans="2:51" x14ac:dyDescent="0.25">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row>
    <row r="952" spans="2:51" x14ac:dyDescent="0.25">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row>
    <row r="953" spans="2:51" x14ac:dyDescent="0.25">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row>
    <row r="954" spans="2:51" x14ac:dyDescent="0.25">
      <c r="B954" s="59" t="s">
        <v>234</v>
      </c>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row>
    <row r="955" spans="2:51" x14ac:dyDescent="0.25">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row>
    <row r="956" spans="2:51" x14ac:dyDescent="0.25">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row>
    <row r="957" spans="2:51" x14ac:dyDescent="0.25">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row>
    <row r="958" spans="2:51" x14ac:dyDescent="0.25">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row>
    <row r="959" spans="2:51" x14ac:dyDescent="0.25">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row>
    <row r="960" spans="2:51" x14ac:dyDescent="0.25">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row>
    <row r="961" spans="19:51" x14ac:dyDescent="0.25">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row>
    <row r="962" spans="19:51" x14ac:dyDescent="0.25">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row>
    <row r="963" spans="19:51" x14ac:dyDescent="0.25">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row>
    <row r="964" spans="19:51" x14ac:dyDescent="0.25">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row>
    <row r="965" spans="19:51" x14ac:dyDescent="0.25">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row>
    <row r="966" spans="19:51" x14ac:dyDescent="0.25">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row>
    <row r="967" spans="19:51" x14ac:dyDescent="0.25">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row>
    <row r="968" spans="19:51" x14ac:dyDescent="0.25">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row>
    <row r="969" spans="19:51" x14ac:dyDescent="0.25">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row>
    <row r="970" spans="19:51" x14ac:dyDescent="0.25">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row>
    <row r="971" spans="19:51" x14ac:dyDescent="0.25">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row>
    <row r="972" spans="19:51" x14ac:dyDescent="0.25">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row>
    <row r="973" spans="19:51" x14ac:dyDescent="0.25">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row>
    <row r="974" spans="19:51" x14ac:dyDescent="0.25">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row>
    <row r="975" spans="19:51" x14ac:dyDescent="0.25">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row>
    <row r="976" spans="19:51" x14ac:dyDescent="0.25">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row>
    <row r="977" spans="2:51" x14ac:dyDescent="0.25">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row>
    <row r="978" spans="2:51" x14ac:dyDescent="0.25">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row>
    <row r="979" spans="2:51" x14ac:dyDescent="0.25">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row>
    <row r="980" spans="2:51" x14ac:dyDescent="0.25">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row>
    <row r="981" spans="2:51" x14ac:dyDescent="0.25">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row>
    <row r="982" spans="2:51" x14ac:dyDescent="0.25">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row>
    <row r="983" spans="2:51" x14ac:dyDescent="0.25">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row>
    <row r="984" spans="2:51" x14ac:dyDescent="0.25">
      <c r="B984" s="59" t="s">
        <v>181</v>
      </c>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row>
    <row r="985" spans="2:51" x14ac:dyDescent="0.25">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row>
    <row r="986" spans="2:51" x14ac:dyDescent="0.25">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row>
    <row r="987" spans="2:51" x14ac:dyDescent="0.25">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row>
    <row r="988" spans="2:51" x14ac:dyDescent="0.25">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row>
    <row r="989" spans="2:51" x14ac:dyDescent="0.25">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row>
    <row r="990" spans="2:51" x14ac:dyDescent="0.25">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row>
    <row r="991" spans="2:51" x14ac:dyDescent="0.25">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row>
    <row r="992" spans="2:51" x14ac:dyDescent="0.25">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row>
    <row r="993" spans="19:51" x14ac:dyDescent="0.25">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row>
    <row r="994" spans="19:51" x14ac:dyDescent="0.25">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row>
    <row r="995" spans="19:51" x14ac:dyDescent="0.25">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row>
    <row r="996" spans="19:51" x14ac:dyDescent="0.25">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row>
    <row r="997" spans="19:51" x14ac:dyDescent="0.25">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row>
    <row r="998" spans="19:51" x14ac:dyDescent="0.25">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row>
    <row r="999" spans="19:51" x14ac:dyDescent="0.25">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row>
    <row r="1000" spans="19:51" x14ac:dyDescent="0.25">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c r="AY1000" s="26"/>
    </row>
    <row r="1001" spans="19:51" x14ac:dyDescent="0.25">
      <c r="S1001" s="26"/>
      <c r="T1001" s="26"/>
      <c r="U1001" s="26"/>
      <c r="V1001" s="26"/>
      <c r="W1001" s="26"/>
      <c r="X1001" s="26"/>
      <c r="Y1001" s="26"/>
      <c r="Z1001" s="26"/>
      <c r="AA1001" s="26"/>
      <c r="AB1001" s="26"/>
      <c r="AC1001" s="26"/>
      <c r="AD1001" s="26"/>
      <c r="AE1001" s="26"/>
      <c r="AF1001" s="26"/>
      <c r="AG1001" s="26"/>
      <c r="AH1001" s="26"/>
      <c r="AI1001" s="26"/>
      <c r="AJ1001" s="26"/>
      <c r="AK1001" s="26"/>
      <c r="AL1001" s="26"/>
      <c r="AM1001" s="26"/>
      <c r="AN1001" s="26"/>
      <c r="AO1001" s="26"/>
      <c r="AP1001" s="26"/>
      <c r="AQ1001" s="26"/>
      <c r="AR1001" s="26"/>
      <c r="AS1001" s="26"/>
      <c r="AT1001" s="26"/>
      <c r="AU1001" s="26"/>
      <c r="AV1001" s="26"/>
      <c r="AW1001" s="26"/>
      <c r="AX1001" s="26"/>
      <c r="AY1001" s="26"/>
    </row>
    <row r="1002" spans="19:51" x14ac:dyDescent="0.25">
      <c r="S1002" s="26"/>
      <c r="T1002" s="26"/>
      <c r="U1002" s="26"/>
      <c r="V1002" s="26"/>
      <c r="W1002" s="26"/>
      <c r="X1002" s="26"/>
      <c r="Y1002" s="26"/>
      <c r="Z1002" s="26"/>
      <c r="AA1002" s="26"/>
      <c r="AB1002" s="26"/>
      <c r="AC1002" s="26"/>
      <c r="AD1002" s="26"/>
      <c r="AE1002" s="26"/>
      <c r="AF1002" s="26"/>
      <c r="AG1002" s="26"/>
      <c r="AH1002" s="26"/>
      <c r="AI1002" s="26"/>
      <c r="AJ1002" s="26"/>
      <c r="AK1002" s="26"/>
      <c r="AL1002" s="26"/>
      <c r="AM1002" s="26"/>
      <c r="AN1002" s="26"/>
      <c r="AO1002" s="26"/>
      <c r="AP1002" s="26"/>
      <c r="AQ1002" s="26"/>
      <c r="AR1002" s="26"/>
      <c r="AS1002" s="26"/>
      <c r="AT1002" s="26"/>
      <c r="AU1002" s="26"/>
      <c r="AV1002" s="26"/>
      <c r="AW1002" s="26"/>
      <c r="AX1002" s="26"/>
      <c r="AY1002" s="26"/>
    </row>
    <row r="1003" spans="19:51" x14ac:dyDescent="0.25">
      <c r="S1003" s="26"/>
      <c r="T1003" s="26"/>
      <c r="U1003" s="26"/>
      <c r="V1003" s="26"/>
      <c r="W1003" s="26"/>
      <c r="X1003" s="26"/>
      <c r="Y1003" s="26"/>
      <c r="Z1003" s="26"/>
      <c r="AA1003" s="26"/>
      <c r="AB1003" s="26"/>
      <c r="AC1003" s="26"/>
      <c r="AD1003" s="26"/>
      <c r="AE1003" s="26"/>
      <c r="AF1003" s="26"/>
      <c r="AG1003" s="26"/>
      <c r="AH1003" s="26"/>
      <c r="AI1003" s="26"/>
      <c r="AJ1003" s="26"/>
      <c r="AK1003" s="26"/>
      <c r="AL1003" s="26"/>
      <c r="AM1003" s="26"/>
      <c r="AN1003" s="26"/>
      <c r="AO1003" s="26"/>
      <c r="AP1003" s="26"/>
      <c r="AQ1003" s="26"/>
      <c r="AR1003" s="26"/>
      <c r="AS1003" s="26"/>
      <c r="AT1003" s="26"/>
      <c r="AU1003" s="26"/>
      <c r="AV1003" s="26"/>
      <c r="AW1003" s="26"/>
      <c r="AX1003" s="26"/>
      <c r="AY1003" s="26"/>
    </row>
    <row r="1004" spans="19:51" x14ac:dyDescent="0.25">
      <c r="S1004" s="26"/>
      <c r="T1004" s="26"/>
      <c r="U1004" s="26"/>
      <c r="V1004" s="26"/>
      <c r="W1004" s="26"/>
      <c r="X1004" s="26"/>
      <c r="Y1004" s="26"/>
      <c r="Z1004" s="26"/>
      <c r="AA1004" s="26"/>
      <c r="AB1004" s="26"/>
      <c r="AC1004" s="26"/>
      <c r="AD1004" s="26"/>
      <c r="AE1004" s="26"/>
      <c r="AF1004" s="26"/>
      <c r="AG1004" s="26"/>
      <c r="AH1004" s="26"/>
      <c r="AI1004" s="26"/>
      <c r="AJ1004" s="26"/>
      <c r="AK1004" s="26"/>
      <c r="AL1004" s="26"/>
      <c r="AM1004" s="26"/>
      <c r="AN1004" s="26"/>
      <c r="AO1004" s="26"/>
      <c r="AP1004" s="26"/>
      <c r="AQ1004" s="26"/>
      <c r="AR1004" s="26"/>
      <c r="AS1004" s="26"/>
      <c r="AT1004" s="26"/>
      <c r="AU1004" s="26"/>
      <c r="AV1004" s="26"/>
      <c r="AW1004" s="26"/>
      <c r="AX1004" s="26"/>
      <c r="AY1004" s="26"/>
    </row>
    <row r="1005" spans="19:51" x14ac:dyDescent="0.25">
      <c r="S1005" s="26"/>
      <c r="T1005" s="26"/>
      <c r="U1005" s="26"/>
      <c r="V1005" s="26"/>
      <c r="W1005" s="26"/>
      <c r="X1005" s="26"/>
      <c r="Y1005" s="26"/>
      <c r="Z1005" s="26"/>
      <c r="AA1005" s="26"/>
      <c r="AB1005" s="26"/>
      <c r="AC1005" s="26"/>
      <c r="AD1005" s="26"/>
      <c r="AE1005" s="26"/>
      <c r="AF1005" s="26"/>
      <c r="AG1005" s="26"/>
      <c r="AH1005" s="26"/>
      <c r="AI1005" s="26"/>
      <c r="AJ1005" s="26"/>
      <c r="AK1005" s="26"/>
      <c r="AL1005" s="26"/>
      <c r="AM1005" s="26"/>
      <c r="AN1005" s="26"/>
      <c r="AO1005" s="26"/>
      <c r="AP1005" s="26"/>
      <c r="AQ1005" s="26"/>
      <c r="AR1005" s="26"/>
      <c r="AS1005" s="26"/>
      <c r="AT1005" s="26"/>
      <c r="AU1005" s="26"/>
      <c r="AV1005" s="26"/>
      <c r="AW1005" s="26"/>
      <c r="AX1005" s="26"/>
      <c r="AY1005" s="26"/>
    </row>
    <row r="1006" spans="19:51" x14ac:dyDescent="0.25">
      <c r="S1006" s="26"/>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c r="AQ1006" s="26"/>
      <c r="AR1006" s="26"/>
      <c r="AS1006" s="26"/>
      <c r="AT1006" s="26"/>
      <c r="AU1006" s="26"/>
      <c r="AV1006" s="26"/>
      <c r="AW1006" s="26"/>
      <c r="AX1006" s="26"/>
      <c r="AY1006" s="26"/>
    </row>
    <row r="1007" spans="19:51" x14ac:dyDescent="0.25">
      <c r="S1007" s="26"/>
      <c r="T1007" s="26"/>
      <c r="U1007" s="26"/>
      <c r="V1007" s="26"/>
      <c r="W1007" s="26"/>
      <c r="X1007" s="26"/>
      <c r="Y1007" s="26"/>
      <c r="Z1007" s="26"/>
      <c r="AA1007" s="26"/>
      <c r="AB1007" s="26"/>
      <c r="AC1007" s="26"/>
      <c r="AD1007" s="26"/>
      <c r="AE1007" s="26"/>
      <c r="AF1007" s="26"/>
      <c r="AG1007" s="26"/>
      <c r="AH1007" s="26"/>
      <c r="AI1007" s="26"/>
      <c r="AJ1007" s="26"/>
      <c r="AK1007" s="26"/>
      <c r="AL1007" s="26"/>
      <c r="AM1007" s="26"/>
      <c r="AN1007" s="26"/>
      <c r="AO1007" s="26"/>
      <c r="AP1007" s="26"/>
      <c r="AQ1007" s="26"/>
      <c r="AR1007" s="26"/>
      <c r="AS1007" s="26"/>
      <c r="AT1007" s="26"/>
      <c r="AU1007" s="26"/>
      <c r="AV1007" s="26"/>
      <c r="AW1007" s="26"/>
      <c r="AX1007" s="26"/>
      <c r="AY1007" s="26"/>
    </row>
    <row r="1008" spans="19:51" x14ac:dyDescent="0.25">
      <c r="S1008" s="26"/>
      <c r="T1008" s="26"/>
      <c r="U1008" s="26"/>
      <c r="V1008" s="26"/>
      <c r="W1008" s="26"/>
      <c r="X1008" s="26"/>
      <c r="Y1008" s="26"/>
      <c r="Z1008" s="26"/>
      <c r="AA1008" s="26"/>
      <c r="AB1008" s="26"/>
      <c r="AC1008" s="26"/>
      <c r="AD1008" s="26"/>
      <c r="AE1008" s="26"/>
      <c r="AF1008" s="26"/>
      <c r="AG1008" s="26"/>
      <c r="AH1008" s="26"/>
      <c r="AI1008" s="26"/>
      <c r="AJ1008" s="26"/>
      <c r="AK1008" s="26"/>
      <c r="AL1008" s="26"/>
      <c r="AM1008" s="26"/>
      <c r="AN1008" s="26"/>
      <c r="AO1008" s="26"/>
      <c r="AP1008" s="26"/>
      <c r="AQ1008" s="26"/>
      <c r="AR1008" s="26"/>
      <c r="AS1008" s="26"/>
      <c r="AT1008" s="26"/>
      <c r="AU1008" s="26"/>
      <c r="AV1008" s="26"/>
      <c r="AW1008" s="26"/>
      <c r="AX1008" s="26"/>
      <c r="AY1008" s="26"/>
    </row>
    <row r="1009" spans="1:51" x14ac:dyDescent="0.25">
      <c r="S1009" s="26"/>
      <c r="T1009" s="26"/>
      <c r="U1009" s="26"/>
      <c r="V1009" s="26"/>
      <c r="W1009" s="26"/>
      <c r="X1009" s="26"/>
      <c r="Y1009" s="26"/>
      <c r="Z1009" s="26"/>
      <c r="AA1009" s="26"/>
      <c r="AB1009" s="26"/>
      <c r="AC1009" s="26"/>
      <c r="AD1009" s="26"/>
      <c r="AE1009" s="26"/>
      <c r="AF1009" s="26"/>
      <c r="AG1009" s="26"/>
      <c r="AH1009" s="26"/>
      <c r="AI1009" s="26"/>
      <c r="AJ1009" s="26"/>
      <c r="AK1009" s="26"/>
      <c r="AL1009" s="26"/>
      <c r="AM1009" s="26"/>
      <c r="AN1009" s="26"/>
      <c r="AO1009" s="26"/>
      <c r="AP1009" s="26"/>
      <c r="AQ1009" s="26"/>
      <c r="AR1009" s="26"/>
      <c r="AS1009" s="26"/>
      <c r="AT1009" s="26"/>
      <c r="AU1009" s="26"/>
      <c r="AV1009" s="26"/>
      <c r="AW1009" s="26"/>
      <c r="AX1009" s="26"/>
      <c r="AY1009" s="26"/>
    </row>
    <row r="1010" spans="1:51" x14ac:dyDescent="0.25">
      <c r="S1010" s="26"/>
      <c r="T1010" s="26"/>
      <c r="U1010" s="26"/>
      <c r="V1010" s="26"/>
      <c r="W1010" s="26"/>
      <c r="X1010" s="26"/>
      <c r="Y1010" s="26"/>
      <c r="Z1010" s="26"/>
      <c r="AA1010" s="26"/>
      <c r="AB1010" s="26"/>
      <c r="AC1010" s="26"/>
      <c r="AD1010" s="26"/>
      <c r="AE1010" s="26"/>
      <c r="AF1010" s="26"/>
      <c r="AG1010" s="26"/>
      <c r="AH1010" s="26"/>
      <c r="AI1010" s="26"/>
      <c r="AJ1010" s="26"/>
      <c r="AK1010" s="26"/>
      <c r="AL1010" s="26"/>
      <c r="AM1010" s="26"/>
      <c r="AN1010" s="26"/>
      <c r="AO1010" s="26"/>
      <c r="AP1010" s="26"/>
      <c r="AQ1010" s="26"/>
      <c r="AR1010" s="26"/>
      <c r="AS1010" s="26"/>
      <c r="AT1010" s="26"/>
      <c r="AU1010" s="26"/>
      <c r="AV1010" s="26"/>
      <c r="AW1010" s="26"/>
      <c r="AX1010" s="26"/>
      <c r="AY1010" s="26"/>
    </row>
    <row r="1011" spans="1:51" x14ac:dyDescent="0.25">
      <c r="S1011" s="26"/>
      <c r="T1011" s="26"/>
      <c r="U1011" s="26"/>
      <c r="V1011" s="26"/>
      <c r="W1011" s="26"/>
      <c r="X1011" s="26"/>
      <c r="Y1011" s="26"/>
      <c r="Z1011" s="26"/>
      <c r="AA1011" s="26"/>
      <c r="AB1011" s="26"/>
      <c r="AC1011" s="26"/>
      <c r="AD1011" s="26"/>
      <c r="AE1011" s="26"/>
      <c r="AF1011" s="26"/>
      <c r="AG1011" s="26"/>
      <c r="AH1011" s="26"/>
      <c r="AI1011" s="26"/>
      <c r="AJ1011" s="26"/>
      <c r="AK1011" s="26"/>
      <c r="AL1011" s="26"/>
      <c r="AM1011" s="26"/>
      <c r="AN1011" s="26"/>
      <c r="AO1011" s="26"/>
      <c r="AP1011" s="26"/>
      <c r="AQ1011" s="26"/>
      <c r="AR1011" s="26"/>
      <c r="AS1011" s="26"/>
      <c r="AT1011" s="26"/>
      <c r="AU1011" s="26"/>
      <c r="AV1011" s="26"/>
      <c r="AW1011" s="26"/>
      <c r="AX1011" s="26"/>
      <c r="AY1011" s="26"/>
    </row>
    <row r="1012" spans="1:51" x14ac:dyDescent="0.25">
      <c r="S1012" s="26"/>
      <c r="T1012" s="26"/>
      <c r="U1012" s="26"/>
      <c r="V1012" s="26"/>
      <c r="W1012" s="26"/>
      <c r="X1012" s="26"/>
      <c r="Y1012" s="26"/>
      <c r="Z1012" s="26"/>
      <c r="AA1012" s="26"/>
      <c r="AB1012" s="26"/>
      <c r="AC1012" s="26"/>
      <c r="AD1012" s="26"/>
      <c r="AE1012" s="26"/>
      <c r="AF1012" s="26"/>
      <c r="AG1012" s="26"/>
      <c r="AH1012" s="26"/>
      <c r="AI1012" s="26"/>
      <c r="AJ1012" s="26"/>
      <c r="AK1012" s="26"/>
      <c r="AL1012" s="26"/>
      <c r="AM1012" s="26"/>
      <c r="AN1012" s="26"/>
      <c r="AO1012" s="26"/>
      <c r="AP1012" s="26"/>
      <c r="AQ1012" s="26"/>
      <c r="AR1012" s="26"/>
      <c r="AS1012" s="26"/>
      <c r="AT1012" s="26"/>
      <c r="AU1012" s="26"/>
      <c r="AV1012" s="26"/>
      <c r="AW1012" s="26"/>
      <c r="AX1012" s="26"/>
      <c r="AY1012" s="26"/>
    </row>
    <row r="1013" spans="1:51" ht="33.75" customHeight="1" x14ac:dyDescent="0.25">
      <c r="A1013" s="26"/>
      <c r="B1013" s="66" t="s">
        <v>190</v>
      </c>
      <c r="C1013" s="67"/>
      <c r="D1013" s="67"/>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L1013" s="26"/>
      <c r="AM1013" s="26"/>
      <c r="AN1013" s="26"/>
      <c r="AO1013" s="26"/>
      <c r="AP1013" s="26"/>
      <c r="AQ1013" s="26"/>
      <c r="AR1013" s="26"/>
      <c r="AS1013" s="26"/>
      <c r="AT1013" s="26"/>
      <c r="AU1013" s="26"/>
      <c r="AV1013" s="26"/>
      <c r="AW1013" s="26"/>
      <c r="AX1013" s="26"/>
      <c r="AY1013" s="26"/>
    </row>
    <row r="1014" spans="1:51" x14ac:dyDescent="0.25">
      <c r="B1014" s="31"/>
      <c r="C1014" s="50"/>
      <c r="D1014" s="50"/>
      <c r="S1014" s="26"/>
      <c r="T1014" s="26"/>
      <c r="U1014" s="26"/>
      <c r="V1014" s="26"/>
      <c r="W1014" s="26"/>
      <c r="X1014" s="26"/>
      <c r="Y1014" s="26"/>
      <c r="Z1014" s="26"/>
      <c r="AA1014" s="26"/>
      <c r="AB1014" s="26"/>
      <c r="AC1014" s="26"/>
      <c r="AD1014" s="26"/>
      <c r="AE1014" s="26"/>
      <c r="AF1014" s="26"/>
      <c r="AG1014" s="26"/>
      <c r="AH1014" s="26"/>
      <c r="AI1014" s="26"/>
      <c r="AJ1014" s="26"/>
      <c r="AK1014" s="26"/>
      <c r="AL1014" s="26"/>
      <c r="AM1014" s="26"/>
      <c r="AN1014" s="26"/>
      <c r="AO1014" s="26"/>
      <c r="AP1014" s="26"/>
      <c r="AQ1014" s="26"/>
      <c r="AR1014" s="26"/>
      <c r="AS1014" s="26"/>
      <c r="AT1014" s="26"/>
      <c r="AU1014" s="26"/>
      <c r="AV1014" s="26"/>
      <c r="AW1014" s="26"/>
      <c r="AX1014" s="26"/>
      <c r="AY1014" s="26"/>
    </row>
    <row r="1015" spans="1:51" x14ac:dyDescent="0.25">
      <c r="B1015" s="31"/>
      <c r="C1015" s="50"/>
      <c r="D1015" s="50"/>
      <c r="S1015" s="26"/>
      <c r="T1015" s="26"/>
      <c r="U1015" s="26"/>
      <c r="V1015" s="26"/>
      <c r="W1015" s="26"/>
      <c r="X1015" s="26"/>
      <c r="Y1015" s="26"/>
      <c r="Z1015" s="26"/>
      <c r="AA1015" s="26"/>
      <c r="AB1015" s="26"/>
      <c r="AC1015" s="26"/>
      <c r="AD1015" s="26"/>
      <c r="AE1015" s="26"/>
      <c r="AF1015" s="26"/>
      <c r="AG1015" s="26"/>
      <c r="AH1015" s="26"/>
      <c r="AI1015" s="26"/>
      <c r="AJ1015" s="26"/>
      <c r="AK1015" s="26"/>
      <c r="AL1015" s="26"/>
      <c r="AM1015" s="26"/>
      <c r="AN1015" s="26"/>
      <c r="AO1015" s="26"/>
      <c r="AP1015" s="26"/>
      <c r="AQ1015" s="26"/>
      <c r="AR1015" s="26"/>
      <c r="AS1015" s="26"/>
      <c r="AT1015" s="26"/>
      <c r="AU1015" s="26"/>
      <c r="AV1015" s="26"/>
      <c r="AW1015" s="26"/>
      <c r="AX1015" s="26"/>
      <c r="AY1015" s="26"/>
    </row>
    <row r="1016" spans="1:51" x14ac:dyDescent="0.25">
      <c r="C1016" s="28"/>
      <c r="S1016" s="26"/>
      <c r="T1016" s="26"/>
      <c r="U1016" s="26"/>
      <c r="V1016" s="26"/>
      <c r="W1016" s="26"/>
      <c r="X1016" s="26"/>
      <c r="Y1016" s="26"/>
      <c r="Z1016" s="26"/>
      <c r="AA1016" s="26"/>
      <c r="AB1016" s="26"/>
      <c r="AC1016" s="26"/>
      <c r="AD1016" s="26"/>
      <c r="AE1016" s="26"/>
      <c r="AF1016" s="26"/>
      <c r="AG1016" s="26"/>
      <c r="AH1016" s="26"/>
      <c r="AI1016" s="26"/>
      <c r="AJ1016" s="26"/>
      <c r="AK1016" s="26"/>
      <c r="AL1016" s="26"/>
      <c r="AM1016" s="26"/>
      <c r="AN1016" s="26"/>
      <c r="AO1016" s="26"/>
      <c r="AP1016" s="26"/>
      <c r="AQ1016" s="26"/>
      <c r="AR1016" s="26"/>
      <c r="AS1016" s="26"/>
      <c r="AT1016" s="26"/>
      <c r="AU1016" s="26"/>
      <c r="AV1016" s="26"/>
      <c r="AW1016" s="26"/>
      <c r="AX1016" s="26"/>
      <c r="AY1016" s="26"/>
    </row>
    <row r="1017" spans="1:51" x14ac:dyDescent="0.25">
      <c r="B1017" s="30" t="s">
        <v>225</v>
      </c>
      <c r="C1017" s="37" t="s">
        <v>129</v>
      </c>
      <c r="D1017" s="37" t="s">
        <v>129</v>
      </c>
      <c r="E1017" s="31"/>
      <c r="F1017" s="31"/>
      <c r="G1017" s="31"/>
      <c r="H1017" s="31"/>
      <c r="I1017" s="35"/>
      <c r="J1017" s="31"/>
      <c r="K1017" s="31"/>
      <c r="L1017" s="31"/>
      <c r="M1017" s="31"/>
      <c r="N1017" s="31"/>
      <c r="O1017" s="31"/>
      <c r="S1017" s="76"/>
      <c r="T1017" s="76"/>
      <c r="U1017" s="82"/>
      <c r="V1017" s="76"/>
      <c r="W1017" s="76"/>
      <c r="X1017" s="76"/>
      <c r="Y1017" s="76"/>
      <c r="Z1017" s="76"/>
      <c r="AA1017" s="76"/>
      <c r="AB1017" s="76"/>
      <c r="AC1017" s="76"/>
      <c r="AD1017" s="76"/>
      <c r="AE1017" s="76"/>
      <c r="AF1017" s="76"/>
      <c r="AG1017" s="76"/>
      <c r="AH1017" s="26"/>
      <c r="AI1017" s="26"/>
      <c r="AJ1017" s="26"/>
      <c r="AK1017" s="26"/>
      <c r="AL1017" s="26"/>
      <c r="AM1017" s="26"/>
      <c r="AN1017" s="26"/>
      <c r="AO1017" s="26"/>
      <c r="AP1017" s="26"/>
      <c r="AQ1017" s="26"/>
      <c r="AR1017" s="26"/>
      <c r="AS1017" s="26"/>
      <c r="AT1017" s="26"/>
      <c r="AU1017" s="26"/>
      <c r="AV1017" s="26"/>
      <c r="AW1017" s="26"/>
      <c r="AX1017" s="26"/>
      <c r="AY1017" s="26"/>
    </row>
    <row r="1018" spans="1:51" x14ac:dyDescent="0.25">
      <c r="B1018" s="52"/>
      <c r="C1018" s="70" t="s">
        <v>191</v>
      </c>
      <c r="D1018" s="37" t="s">
        <v>192</v>
      </c>
      <c r="E1018" s="31"/>
      <c r="F1018" s="31"/>
      <c r="G1018" s="31"/>
      <c r="H1018" s="31"/>
      <c r="I1018" s="35"/>
      <c r="J1018" s="31"/>
      <c r="K1018" s="31"/>
      <c r="L1018" s="31"/>
      <c r="M1018" s="31"/>
      <c r="N1018" s="31"/>
      <c r="O1018" s="31"/>
      <c r="S1018" s="76"/>
      <c r="T1018" s="76"/>
      <c r="U1018" s="82"/>
      <c r="V1018" s="76"/>
      <c r="W1018" s="76"/>
      <c r="X1018" s="76"/>
      <c r="Y1018" s="76"/>
      <c r="Z1018" s="76"/>
      <c r="AA1018" s="76"/>
      <c r="AB1018" s="76"/>
      <c r="AC1018" s="76"/>
      <c r="AD1018" s="76"/>
      <c r="AE1018" s="76"/>
      <c r="AF1018" s="76"/>
      <c r="AG1018" s="76"/>
      <c r="AH1018" s="26"/>
      <c r="AI1018" s="26"/>
      <c r="AJ1018" s="26"/>
      <c r="AK1018" s="26"/>
      <c r="AL1018" s="26"/>
      <c r="AM1018" s="26"/>
      <c r="AN1018" s="26"/>
      <c r="AO1018" s="26"/>
      <c r="AP1018" s="26"/>
      <c r="AQ1018" s="26"/>
      <c r="AR1018" s="26"/>
      <c r="AS1018" s="26"/>
      <c r="AT1018" s="26"/>
      <c r="AU1018" s="26"/>
      <c r="AV1018" s="26"/>
      <c r="AW1018" s="26"/>
      <c r="AX1018" s="26"/>
      <c r="AY1018" s="26"/>
    </row>
    <row r="1019" spans="1:51" x14ac:dyDescent="0.25">
      <c r="B1019" s="53" t="s">
        <v>193</v>
      </c>
      <c r="C1019" s="73"/>
      <c r="D1019" s="12" t="e">
        <f>SUM(#REF!)+#REF!+#REF!</f>
        <v>#REF!</v>
      </c>
      <c r="E1019" s="85"/>
      <c r="F1019" s="85"/>
      <c r="G1019" s="85"/>
      <c r="H1019" s="85"/>
      <c r="I1019" s="35"/>
      <c r="J1019" s="85"/>
      <c r="K1019" s="85"/>
      <c r="L1019" s="85"/>
      <c r="M1019" s="85"/>
      <c r="N1019" s="85"/>
      <c r="O1019" s="85"/>
      <c r="S1019" s="86"/>
      <c r="T1019" s="86"/>
      <c r="U1019" s="82"/>
      <c r="V1019" s="87"/>
      <c r="W1019" s="87"/>
      <c r="X1019" s="87"/>
      <c r="Y1019" s="87"/>
      <c r="Z1019" s="87"/>
      <c r="AA1019" s="87"/>
      <c r="AB1019" s="79"/>
      <c r="AC1019" s="79"/>
      <c r="AD1019" s="79"/>
      <c r="AE1019" s="79"/>
      <c r="AF1019" s="79"/>
      <c r="AG1019" s="79"/>
      <c r="AH1019" s="26"/>
      <c r="AI1019" s="26"/>
      <c r="AJ1019" s="26"/>
      <c r="AK1019" s="26"/>
      <c r="AL1019" s="26"/>
      <c r="AM1019" s="26"/>
      <c r="AN1019" s="26"/>
      <c r="AO1019" s="26"/>
      <c r="AP1019" s="26"/>
      <c r="AQ1019" s="26"/>
      <c r="AR1019" s="26"/>
      <c r="AS1019" s="26"/>
      <c r="AT1019" s="26"/>
      <c r="AU1019" s="26"/>
      <c r="AV1019" s="26"/>
      <c r="AW1019" s="26"/>
      <c r="AX1019" s="26"/>
      <c r="AY1019" s="26"/>
    </row>
    <row r="1020" spans="1:51" x14ac:dyDescent="0.25">
      <c r="B1020" s="53" t="s">
        <v>194</v>
      </c>
      <c r="C1020" s="73"/>
      <c r="D1020" s="12" t="e">
        <f>-(SUM(#REF!)+SUM(#REF!))-(#REF!+#REF!)-(#REF!+#REF!)-(#REF!+#REF!)-(#REF!+#REF!)-(#REF!+#REF!)</f>
        <v>#REF!</v>
      </c>
      <c r="E1020" s="85"/>
      <c r="F1020" s="85"/>
      <c r="G1020" s="85"/>
      <c r="H1020" s="85"/>
      <c r="I1020" s="35"/>
      <c r="J1020" s="85"/>
      <c r="K1020" s="85"/>
      <c r="L1020" s="85"/>
      <c r="M1020" s="85"/>
      <c r="N1020" s="85"/>
      <c r="O1020" s="85"/>
      <c r="S1020" s="86"/>
      <c r="T1020" s="86"/>
      <c r="U1020" s="82"/>
      <c r="V1020" s="79"/>
      <c r="W1020" s="79"/>
      <c r="X1020" s="79"/>
      <c r="Y1020" s="79"/>
      <c r="Z1020" s="79"/>
      <c r="AA1020" s="79"/>
      <c r="AB1020" s="79"/>
      <c r="AC1020" s="79"/>
      <c r="AD1020" s="79"/>
      <c r="AE1020" s="79"/>
      <c r="AF1020" s="79"/>
      <c r="AG1020" s="79"/>
      <c r="AH1020" s="26"/>
      <c r="AI1020" s="26"/>
      <c r="AJ1020" s="26"/>
      <c r="AK1020" s="26"/>
      <c r="AL1020" s="26"/>
      <c r="AM1020" s="26"/>
      <c r="AN1020" s="26"/>
      <c r="AO1020" s="26"/>
      <c r="AP1020" s="26"/>
      <c r="AQ1020" s="26"/>
      <c r="AR1020" s="26"/>
      <c r="AS1020" s="26"/>
      <c r="AT1020" s="26"/>
      <c r="AU1020" s="26"/>
      <c r="AV1020" s="26"/>
      <c r="AW1020" s="26"/>
      <c r="AX1020" s="26"/>
      <c r="AY1020" s="26"/>
    </row>
    <row r="1021" spans="1:51" x14ac:dyDescent="0.25">
      <c r="B1021" s="53" t="s">
        <v>195</v>
      </c>
      <c r="C1021" s="73"/>
      <c r="D1021" s="12" t="e">
        <f>#REF!+#REF!+#REF!+#REF!</f>
        <v>#REF!</v>
      </c>
      <c r="E1021" s="85"/>
      <c r="F1021" s="85"/>
      <c r="G1021" s="85"/>
      <c r="H1021" s="85"/>
      <c r="I1021" s="35"/>
      <c r="J1021" s="85"/>
      <c r="K1021" s="85"/>
      <c r="L1021" s="85"/>
      <c r="M1021" s="85"/>
      <c r="N1021" s="85"/>
      <c r="O1021" s="85"/>
      <c r="S1021" s="86"/>
      <c r="T1021" s="86"/>
      <c r="U1021" s="82"/>
      <c r="V1021" s="79"/>
      <c r="W1021" s="79"/>
      <c r="X1021" s="79"/>
      <c r="Y1021" s="79"/>
      <c r="Z1021" s="79"/>
      <c r="AA1021" s="79"/>
      <c r="AB1021" s="79"/>
      <c r="AC1021" s="79"/>
      <c r="AD1021" s="79"/>
      <c r="AE1021" s="79"/>
      <c r="AF1021" s="79"/>
      <c r="AG1021" s="79"/>
      <c r="AH1021" s="26"/>
      <c r="AI1021" s="26"/>
      <c r="AJ1021" s="26"/>
      <c r="AK1021" s="26"/>
      <c r="AL1021" s="26"/>
      <c r="AM1021" s="26"/>
      <c r="AN1021" s="26"/>
      <c r="AO1021" s="26"/>
      <c r="AP1021" s="26"/>
      <c r="AQ1021" s="26"/>
      <c r="AR1021" s="26"/>
      <c r="AS1021" s="26"/>
      <c r="AT1021" s="26"/>
      <c r="AU1021" s="26"/>
      <c r="AV1021" s="26"/>
      <c r="AW1021" s="26"/>
      <c r="AX1021" s="26"/>
      <c r="AY1021" s="26"/>
    </row>
    <row r="1022" spans="1:51" x14ac:dyDescent="0.25">
      <c r="B1022" s="53"/>
      <c r="C1022" s="73"/>
      <c r="D1022" s="12"/>
      <c r="E1022" s="85"/>
      <c r="F1022" s="85"/>
      <c r="G1022" s="85"/>
      <c r="H1022" s="85"/>
      <c r="I1022" s="35"/>
      <c r="J1022" s="85"/>
      <c r="K1022" s="85"/>
      <c r="L1022" s="85"/>
      <c r="M1022" s="85"/>
      <c r="N1022" s="85"/>
      <c r="O1022" s="85"/>
      <c r="S1022" s="86"/>
      <c r="T1022" s="86"/>
      <c r="U1022" s="82"/>
      <c r="V1022" s="79"/>
      <c r="W1022" s="79"/>
      <c r="X1022" s="79"/>
      <c r="Y1022" s="79"/>
      <c r="Z1022" s="79"/>
      <c r="AA1022" s="79"/>
      <c r="AB1022" s="79"/>
      <c r="AC1022" s="79"/>
      <c r="AD1022" s="79"/>
      <c r="AE1022" s="79"/>
      <c r="AF1022" s="79"/>
      <c r="AG1022" s="79"/>
      <c r="AH1022" s="26"/>
      <c r="AI1022" s="26"/>
      <c r="AJ1022" s="26"/>
      <c r="AK1022" s="26"/>
      <c r="AL1022" s="26"/>
      <c r="AM1022" s="26"/>
      <c r="AN1022" s="26"/>
      <c r="AO1022" s="26"/>
      <c r="AP1022" s="26"/>
      <c r="AQ1022" s="26"/>
      <c r="AR1022" s="26"/>
      <c r="AS1022" s="26"/>
      <c r="AT1022" s="26"/>
      <c r="AU1022" s="26"/>
      <c r="AV1022" s="26"/>
      <c r="AW1022" s="26"/>
      <c r="AX1022" s="26"/>
      <c r="AY1022" s="26"/>
    </row>
    <row r="1023" spans="1:51" x14ac:dyDescent="0.25">
      <c r="B1023" s="53" t="s">
        <v>196</v>
      </c>
      <c r="C1023" s="73" t="e">
        <f>#REF!+SUM(#REF!)+SUM(#REF!)+SUM(#REF!)+SUM(#REF!)</f>
        <v>#REF!</v>
      </c>
      <c r="D1023" s="12"/>
      <c r="E1023" s="85"/>
      <c r="F1023" s="85"/>
      <c r="G1023" s="85"/>
      <c r="H1023" s="85"/>
      <c r="I1023" s="35"/>
      <c r="J1023" s="85"/>
      <c r="K1023" s="85"/>
      <c r="L1023" s="85"/>
      <c r="M1023" s="85"/>
      <c r="N1023" s="85"/>
      <c r="O1023" s="85"/>
      <c r="S1023" s="86"/>
      <c r="T1023" s="86"/>
      <c r="U1023" s="82"/>
      <c r="V1023" s="79"/>
      <c r="W1023" s="79"/>
      <c r="X1023" s="79"/>
      <c r="Y1023" s="79"/>
      <c r="Z1023" s="79"/>
      <c r="AA1023" s="79"/>
      <c r="AB1023" s="79"/>
      <c r="AC1023" s="79"/>
      <c r="AD1023" s="79"/>
      <c r="AE1023" s="79"/>
      <c r="AF1023" s="79"/>
      <c r="AG1023" s="79"/>
      <c r="AH1023" s="26"/>
      <c r="AI1023" s="26"/>
      <c r="AJ1023" s="26"/>
      <c r="AK1023" s="26"/>
      <c r="AL1023" s="26"/>
      <c r="AM1023" s="26"/>
      <c r="AN1023" s="26"/>
      <c r="AO1023" s="26"/>
      <c r="AP1023" s="26"/>
      <c r="AQ1023" s="26"/>
      <c r="AR1023" s="26"/>
      <c r="AS1023" s="26"/>
      <c r="AT1023" s="26"/>
      <c r="AU1023" s="26"/>
      <c r="AV1023" s="26"/>
      <c r="AW1023" s="26"/>
      <c r="AX1023" s="26"/>
      <c r="AY1023" s="26"/>
    </row>
    <row r="1024" spans="1:51" x14ac:dyDescent="0.25">
      <c r="B1024" s="53" t="s">
        <v>197</v>
      </c>
      <c r="C1024" s="73" t="e">
        <f>#REF!</f>
        <v>#REF!</v>
      </c>
      <c r="D1024" s="12"/>
      <c r="E1024" s="85"/>
      <c r="F1024" s="85"/>
      <c r="G1024" s="85"/>
      <c r="H1024" s="85"/>
      <c r="I1024" s="35"/>
      <c r="J1024" s="85"/>
      <c r="K1024" s="85"/>
      <c r="L1024" s="85"/>
      <c r="M1024" s="85"/>
      <c r="N1024" s="85"/>
      <c r="O1024" s="85"/>
      <c r="S1024" s="86"/>
      <c r="T1024" s="86"/>
      <c r="U1024" s="82"/>
      <c r="V1024" s="82"/>
      <c r="W1024" s="82"/>
      <c r="X1024" s="82"/>
      <c r="Y1024" s="82"/>
      <c r="Z1024" s="82"/>
      <c r="AA1024" s="82"/>
      <c r="AB1024" s="79"/>
      <c r="AC1024" s="79"/>
      <c r="AD1024" s="79"/>
      <c r="AE1024" s="79"/>
      <c r="AF1024" s="79"/>
      <c r="AG1024" s="79"/>
      <c r="AH1024" s="26"/>
      <c r="AI1024" s="26"/>
      <c r="AJ1024" s="26"/>
      <c r="AK1024" s="26"/>
      <c r="AL1024" s="26"/>
      <c r="AM1024" s="26"/>
      <c r="AN1024" s="26"/>
      <c r="AO1024" s="26"/>
      <c r="AP1024" s="26"/>
      <c r="AQ1024" s="26"/>
      <c r="AR1024" s="26"/>
      <c r="AS1024" s="26"/>
      <c r="AT1024" s="26"/>
      <c r="AU1024" s="26"/>
      <c r="AV1024" s="26"/>
      <c r="AW1024" s="26"/>
      <c r="AX1024" s="26"/>
      <c r="AY1024" s="26"/>
    </row>
    <row r="1025" spans="2:51" x14ac:dyDescent="0.25">
      <c r="B1025" s="53" t="s">
        <v>220</v>
      </c>
      <c r="C1025" s="73" t="e">
        <f>#REF!</f>
        <v>#REF!</v>
      </c>
      <c r="D1025" s="12"/>
      <c r="E1025" s="85"/>
      <c r="F1025" s="85"/>
      <c r="G1025" s="85"/>
      <c r="H1025" s="85"/>
      <c r="I1025" s="35"/>
      <c r="J1025" s="85"/>
      <c r="K1025" s="85"/>
      <c r="L1025" s="85"/>
      <c r="M1025" s="85"/>
      <c r="N1025" s="85"/>
      <c r="O1025" s="85"/>
      <c r="S1025" s="86"/>
      <c r="T1025" s="86"/>
      <c r="U1025" s="82"/>
      <c r="V1025" s="82"/>
      <c r="W1025" s="82"/>
      <c r="X1025" s="82"/>
      <c r="Y1025" s="82"/>
      <c r="Z1025" s="82"/>
      <c r="AA1025" s="82"/>
      <c r="AB1025" s="79"/>
      <c r="AC1025" s="79"/>
      <c r="AD1025" s="79"/>
      <c r="AE1025" s="79"/>
      <c r="AF1025" s="79"/>
      <c r="AG1025" s="79"/>
      <c r="AH1025" s="26"/>
      <c r="AI1025" s="26"/>
      <c r="AJ1025" s="26"/>
      <c r="AK1025" s="26"/>
      <c r="AL1025" s="26"/>
      <c r="AM1025" s="26"/>
      <c r="AN1025" s="26"/>
      <c r="AO1025" s="26"/>
      <c r="AP1025" s="26"/>
      <c r="AQ1025" s="26"/>
      <c r="AR1025" s="26"/>
      <c r="AS1025" s="26"/>
      <c r="AT1025" s="26"/>
      <c r="AU1025" s="26"/>
      <c r="AV1025" s="26"/>
      <c r="AW1025" s="26"/>
      <c r="AX1025" s="26"/>
      <c r="AY1025" s="26"/>
    </row>
    <row r="1026" spans="2:51" x14ac:dyDescent="0.25">
      <c r="B1026" s="53" t="s">
        <v>198</v>
      </c>
      <c r="C1026" s="73" t="e">
        <f>#REF!+#REF!+#REF!</f>
        <v>#REF!</v>
      </c>
      <c r="D1026" s="12"/>
      <c r="E1026" s="85"/>
      <c r="F1026" s="85"/>
      <c r="G1026" s="85"/>
      <c r="H1026" s="85"/>
      <c r="I1026" s="35"/>
      <c r="J1026" s="88"/>
      <c r="K1026" s="88"/>
      <c r="L1026" s="88"/>
      <c r="M1026" s="88"/>
      <c r="N1026" s="88"/>
      <c r="O1026" s="88"/>
      <c r="S1026" s="86"/>
      <c r="T1026" s="86"/>
      <c r="U1026" s="82"/>
      <c r="V1026" s="79"/>
      <c r="W1026" s="79"/>
      <c r="X1026" s="79"/>
      <c r="Y1026" s="79"/>
      <c r="Z1026" s="79"/>
      <c r="AA1026" s="79"/>
      <c r="AB1026" s="79"/>
      <c r="AC1026" s="79"/>
      <c r="AD1026" s="79"/>
      <c r="AE1026" s="79"/>
      <c r="AF1026" s="79"/>
      <c r="AG1026" s="79"/>
      <c r="AH1026" s="26"/>
      <c r="AI1026" s="26"/>
      <c r="AJ1026" s="26"/>
      <c r="AK1026" s="26"/>
      <c r="AL1026" s="26"/>
      <c r="AM1026" s="26"/>
      <c r="AN1026" s="26"/>
      <c r="AO1026" s="26"/>
      <c r="AP1026" s="26"/>
      <c r="AQ1026" s="26"/>
      <c r="AR1026" s="26"/>
      <c r="AS1026" s="26"/>
      <c r="AT1026" s="26"/>
      <c r="AU1026" s="26"/>
      <c r="AV1026" s="26"/>
      <c r="AW1026" s="26"/>
      <c r="AX1026" s="26"/>
      <c r="AY1026" s="26"/>
    </row>
    <row r="1027" spans="2:51" x14ac:dyDescent="0.25">
      <c r="B1027" s="53" t="s">
        <v>157</v>
      </c>
      <c r="C1027" s="73" t="e">
        <f>#REF!</f>
        <v>#REF!</v>
      </c>
      <c r="D1027" s="12"/>
      <c r="E1027" s="50"/>
      <c r="F1027" s="50"/>
      <c r="G1027" s="50"/>
      <c r="H1027" s="50"/>
      <c r="I1027" s="35"/>
      <c r="J1027" s="50"/>
      <c r="K1027" s="50"/>
      <c r="L1027" s="50"/>
      <c r="M1027" s="50"/>
      <c r="N1027" s="50"/>
      <c r="O1027" s="50"/>
      <c r="S1027" s="67"/>
      <c r="T1027" s="67"/>
      <c r="U1027" s="82"/>
      <c r="V1027" s="67"/>
      <c r="W1027" s="67"/>
      <c r="X1027" s="67"/>
      <c r="Y1027" s="67"/>
      <c r="Z1027" s="67"/>
      <c r="AA1027" s="67"/>
      <c r="AB1027" s="67"/>
      <c r="AC1027" s="67"/>
      <c r="AD1027" s="67"/>
      <c r="AE1027" s="67"/>
      <c r="AF1027" s="67"/>
      <c r="AG1027" s="67"/>
      <c r="AH1027" s="26"/>
      <c r="AI1027" s="26"/>
      <c r="AJ1027" s="26"/>
      <c r="AK1027" s="26"/>
      <c r="AL1027" s="26"/>
      <c r="AM1027" s="26"/>
      <c r="AN1027" s="26"/>
      <c r="AO1027" s="26"/>
      <c r="AP1027" s="26"/>
      <c r="AQ1027" s="26"/>
      <c r="AR1027" s="26"/>
      <c r="AS1027" s="26"/>
      <c r="AT1027" s="26"/>
      <c r="AU1027" s="26"/>
      <c r="AV1027" s="26"/>
      <c r="AW1027" s="26"/>
      <c r="AX1027" s="26"/>
      <c r="AY1027" s="26"/>
    </row>
    <row r="1028" spans="2:51" x14ac:dyDescent="0.25">
      <c r="B1028" s="69" t="s">
        <v>147</v>
      </c>
      <c r="C1028" s="74" t="e">
        <f>SUM(C1019:C1027)</f>
        <v>#REF!</v>
      </c>
      <c r="D1028" s="56" t="e">
        <f>SUM(D1019:D1027)</f>
        <v>#REF!</v>
      </c>
      <c r="E1028" s="50"/>
      <c r="F1028" s="107"/>
      <c r="G1028" s="16"/>
      <c r="H1028" s="16"/>
      <c r="S1028" s="26"/>
      <c r="T1028" s="26"/>
      <c r="U1028" s="26"/>
      <c r="V1028" s="26"/>
      <c r="W1028" s="26"/>
      <c r="X1028" s="26"/>
      <c r="Y1028" s="26"/>
      <c r="Z1028" s="26"/>
      <c r="AA1028" s="26"/>
      <c r="AB1028" s="26"/>
      <c r="AC1028" s="26"/>
      <c r="AD1028" s="26"/>
      <c r="AE1028" s="26"/>
      <c r="AF1028" s="26"/>
      <c r="AG1028" s="26"/>
      <c r="AH1028" s="26"/>
      <c r="AI1028" s="26"/>
      <c r="AJ1028" s="26"/>
      <c r="AK1028" s="26"/>
      <c r="AL1028" s="26"/>
      <c r="AM1028" s="26"/>
      <c r="AN1028" s="26"/>
      <c r="AO1028" s="26"/>
      <c r="AP1028" s="26"/>
      <c r="AQ1028" s="26"/>
      <c r="AR1028" s="26"/>
      <c r="AS1028" s="26"/>
      <c r="AT1028" s="26"/>
      <c r="AU1028" s="26"/>
      <c r="AV1028" s="26"/>
      <c r="AW1028" s="26"/>
      <c r="AX1028" s="26"/>
      <c r="AY1028" s="26"/>
    </row>
    <row r="1029" spans="2:51" x14ac:dyDescent="0.25">
      <c r="I1029" s="58"/>
      <c r="S1029" s="26"/>
      <c r="T1029" s="26"/>
      <c r="U1029" s="26"/>
      <c r="V1029" s="26"/>
      <c r="W1029" s="26"/>
      <c r="X1029" s="26"/>
      <c r="Y1029" s="26"/>
      <c r="Z1029" s="26"/>
      <c r="AA1029" s="26"/>
      <c r="AB1029" s="26"/>
      <c r="AC1029" s="26"/>
      <c r="AD1029" s="26"/>
      <c r="AE1029" s="26"/>
      <c r="AF1029" s="26"/>
      <c r="AG1029" s="26"/>
      <c r="AH1029" s="26"/>
      <c r="AI1029" s="26"/>
      <c r="AJ1029" s="26"/>
      <c r="AK1029" s="26"/>
      <c r="AL1029" s="26"/>
      <c r="AM1029" s="26"/>
      <c r="AN1029" s="26"/>
      <c r="AO1029" s="26"/>
      <c r="AP1029" s="26"/>
      <c r="AQ1029" s="26"/>
      <c r="AR1029" s="26"/>
      <c r="AS1029" s="26"/>
      <c r="AT1029" s="26"/>
      <c r="AU1029" s="26"/>
      <c r="AV1029" s="26"/>
      <c r="AW1029" s="26"/>
      <c r="AX1029" s="26"/>
      <c r="AY1029" s="26"/>
    </row>
    <row r="1030" spans="2:51" x14ac:dyDescent="0.25">
      <c r="S1030" s="26"/>
      <c r="T1030" s="26"/>
      <c r="U1030" s="26"/>
      <c r="V1030" s="26"/>
      <c r="W1030" s="26"/>
      <c r="X1030" s="26"/>
      <c r="Y1030" s="26"/>
      <c r="Z1030" s="26"/>
      <c r="AA1030" s="26"/>
      <c r="AB1030" s="26"/>
      <c r="AC1030" s="26"/>
      <c r="AD1030" s="26"/>
      <c r="AE1030" s="26"/>
      <c r="AF1030" s="26"/>
      <c r="AG1030" s="26"/>
      <c r="AH1030" s="26"/>
      <c r="AI1030" s="26"/>
      <c r="AJ1030" s="26"/>
      <c r="AK1030" s="26"/>
      <c r="AL1030" s="26"/>
      <c r="AM1030" s="26"/>
      <c r="AN1030" s="26"/>
      <c r="AO1030" s="26"/>
      <c r="AP1030" s="26"/>
      <c r="AQ1030" s="26"/>
      <c r="AR1030" s="26"/>
      <c r="AS1030" s="26"/>
      <c r="AT1030" s="26"/>
      <c r="AU1030" s="26"/>
      <c r="AV1030" s="26"/>
      <c r="AW1030" s="26"/>
      <c r="AX1030" s="26"/>
      <c r="AY1030" s="26"/>
    </row>
    <row r="1031" spans="2:51" x14ac:dyDescent="0.25">
      <c r="B1031" s="59" t="s">
        <v>225</v>
      </c>
      <c r="S1031" s="26"/>
      <c r="T1031" s="26"/>
      <c r="U1031" s="26"/>
      <c r="V1031" s="26"/>
      <c r="W1031" s="26"/>
      <c r="X1031" s="26"/>
      <c r="Y1031" s="26"/>
      <c r="Z1031" s="26"/>
      <c r="AA1031" s="26"/>
      <c r="AB1031" s="26"/>
      <c r="AC1031" s="26"/>
      <c r="AD1031" s="26"/>
      <c r="AE1031" s="26"/>
      <c r="AF1031" s="26"/>
      <c r="AG1031" s="26"/>
      <c r="AH1031" s="26"/>
      <c r="AI1031" s="26"/>
      <c r="AJ1031" s="26"/>
      <c r="AK1031" s="26"/>
      <c r="AL1031" s="26"/>
      <c r="AM1031" s="26"/>
      <c r="AN1031" s="26"/>
      <c r="AO1031" s="26"/>
      <c r="AP1031" s="26"/>
      <c r="AQ1031" s="26"/>
      <c r="AR1031" s="26"/>
      <c r="AS1031" s="26"/>
      <c r="AT1031" s="26"/>
      <c r="AU1031" s="26"/>
      <c r="AV1031" s="26"/>
      <c r="AW1031" s="26"/>
      <c r="AX1031" s="26"/>
      <c r="AY1031" s="26"/>
    </row>
    <row r="1032" spans="2:51" x14ac:dyDescent="0.25">
      <c r="S1032" s="26"/>
      <c r="T1032" s="26"/>
      <c r="U1032" s="26"/>
      <c r="V1032" s="26"/>
      <c r="W1032" s="26"/>
      <c r="X1032" s="26"/>
      <c r="Y1032" s="26"/>
      <c r="Z1032" s="26"/>
      <c r="AA1032" s="26"/>
      <c r="AB1032" s="26"/>
      <c r="AC1032" s="26"/>
      <c r="AD1032" s="26"/>
      <c r="AE1032" s="26"/>
      <c r="AF1032" s="26"/>
      <c r="AG1032" s="26"/>
      <c r="AH1032" s="26"/>
      <c r="AI1032" s="26"/>
      <c r="AJ1032" s="26"/>
      <c r="AK1032" s="26"/>
      <c r="AL1032" s="26"/>
      <c r="AM1032" s="26"/>
      <c r="AN1032" s="26"/>
      <c r="AO1032" s="26"/>
      <c r="AP1032" s="26"/>
      <c r="AQ1032" s="26"/>
      <c r="AR1032" s="26"/>
      <c r="AS1032" s="26"/>
      <c r="AT1032" s="26"/>
      <c r="AU1032" s="26"/>
      <c r="AV1032" s="26"/>
      <c r="AW1032" s="26"/>
      <c r="AX1032" s="26"/>
      <c r="AY1032" s="26"/>
    </row>
    <row r="1033" spans="2:51" x14ac:dyDescent="0.25">
      <c r="S1033" s="26"/>
      <c r="T1033" s="26"/>
      <c r="U1033" s="26"/>
      <c r="V1033" s="26"/>
      <c r="W1033" s="26"/>
      <c r="X1033" s="26"/>
      <c r="Y1033" s="26"/>
      <c r="Z1033" s="26"/>
      <c r="AA1033" s="26"/>
      <c r="AB1033" s="26"/>
      <c r="AC1033" s="26"/>
      <c r="AD1033" s="26"/>
      <c r="AE1033" s="26"/>
      <c r="AF1033" s="26"/>
      <c r="AG1033" s="26"/>
      <c r="AH1033" s="26"/>
      <c r="AI1033" s="26"/>
      <c r="AJ1033" s="26"/>
      <c r="AK1033" s="26"/>
      <c r="AL1033" s="26"/>
      <c r="AM1033" s="26"/>
      <c r="AN1033" s="26"/>
      <c r="AO1033" s="26"/>
      <c r="AP1033" s="26"/>
      <c r="AQ1033" s="26"/>
      <c r="AR1033" s="26"/>
      <c r="AS1033" s="26"/>
      <c r="AT1033" s="26"/>
      <c r="AU1033" s="26"/>
      <c r="AV1033" s="26"/>
      <c r="AW1033" s="26"/>
      <c r="AX1033" s="26"/>
      <c r="AY1033" s="26"/>
    </row>
    <row r="1034" spans="2:51" x14ac:dyDescent="0.25">
      <c r="S1034" s="26"/>
      <c r="T1034" s="26"/>
      <c r="U1034" s="26"/>
      <c r="V1034" s="26"/>
      <c r="W1034" s="26"/>
      <c r="X1034" s="26"/>
      <c r="Y1034" s="26"/>
      <c r="Z1034" s="26"/>
      <c r="AA1034" s="26"/>
      <c r="AB1034" s="26"/>
      <c r="AC1034" s="26"/>
      <c r="AD1034" s="26"/>
      <c r="AE1034" s="26"/>
      <c r="AF1034" s="26"/>
      <c r="AG1034" s="26"/>
      <c r="AH1034" s="26"/>
      <c r="AI1034" s="26"/>
      <c r="AJ1034" s="26"/>
      <c r="AK1034" s="26"/>
      <c r="AL1034" s="26"/>
      <c r="AM1034" s="26"/>
      <c r="AN1034" s="26"/>
      <c r="AO1034" s="26"/>
      <c r="AP1034" s="26"/>
      <c r="AQ1034" s="26"/>
      <c r="AR1034" s="26"/>
      <c r="AS1034" s="26"/>
      <c r="AT1034" s="26"/>
      <c r="AU1034" s="26"/>
      <c r="AV1034" s="26"/>
      <c r="AW1034" s="26"/>
      <c r="AX1034" s="26"/>
      <c r="AY1034" s="26"/>
    </row>
    <row r="1035" spans="2:51" x14ac:dyDescent="0.25">
      <c r="S1035" s="26"/>
      <c r="T1035" s="26"/>
      <c r="U1035" s="26"/>
      <c r="V1035" s="26"/>
      <c r="W1035" s="26"/>
      <c r="X1035" s="26"/>
      <c r="Y1035" s="26"/>
      <c r="Z1035" s="26"/>
      <c r="AA1035" s="26"/>
      <c r="AB1035" s="26"/>
      <c r="AC1035" s="26"/>
      <c r="AD1035" s="26"/>
      <c r="AE1035" s="26"/>
      <c r="AF1035" s="26"/>
      <c r="AG1035" s="26"/>
      <c r="AH1035" s="26"/>
      <c r="AI1035" s="26"/>
      <c r="AJ1035" s="26"/>
      <c r="AK1035" s="26"/>
      <c r="AL1035" s="26"/>
      <c r="AM1035" s="26"/>
      <c r="AN1035" s="26"/>
      <c r="AO1035" s="26"/>
      <c r="AP1035" s="26"/>
      <c r="AQ1035" s="26"/>
      <c r="AR1035" s="26"/>
      <c r="AS1035" s="26"/>
      <c r="AT1035" s="26"/>
      <c r="AU1035" s="26"/>
      <c r="AV1035" s="26"/>
      <c r="AW1035" s="26"/>
      <c r="AX1035" s="26"/>
      <c r="AY1035" s="26"/>
    </row>
    <row r="1036" spans="2:51" x14ac:dyDescent="0.25">
      <c r="S1036" s="26"/>
      <c r="T1036" s="26"/>
      <c r="U1036" s="26"/>
      <c r="V1036" s="26"/>
      <c r="W1036" s="26"/>
      <c r="X1036" s="26"/>
      <c r="Y1036" s="26"/>
      <c r="Z1036" s="26"/>
      <c r="AA1036" s="26"/>
      <c r="AB1036" s="26"/>
      <c r="AC1036" s="26"/>
      <c r="AD1036" s="26"/>
      <c r="AE1036" s="26"/>
      <c r="AF1036" s="26"/>
      <c r="AG1036" s="26"/>
      <c r="AH1036" s="26"/>
      <c r="AI1036" s="26"/>
      <c r="AJ1036" s="26"/>
      <c r="AK1036" s="26"/>
      <c r="AL1036" s="26"/>
      <c r="AM1036" s="26"/>
      <c r="AN1036" s="26"/>
      <c r="AO1036" s="26"/>
      <c r="AP1036" s="26"/>
      <c r="AQ1036" s="26"/>
      <c r="AR1036" s="26"/>
      <c r="AS1036" s="26"/>
      <c r="AT1036" s="26"/>
      <c r="AU1036" s="26"/>
      <c r="AV1036" s="26"/>
      <c r="AW1036" s="26"/>
      <c r="AX1036" s="26"/>
      <c r="AY1036" s="26"/>
    </row>
    <row r="1037" spans="2:51" x14ac:dyDescent="0.25">
      <c r="S1037" s="26"/>
      <c r="T1037" s="26"/>
      <c r="U1037" s="26"/>
      <c r="V1037" s="26"/>
      <c r="W1037" s="26"/>
      <c r="X1037" s="26"/>
      <c r="Y1037" s="26"/>
      <c r="Z1037" s="26"/>
      <c r="AA1037" s="26"/>
      <c r="AB1037" s="26"/>
      <c r="AC1037" s="26"/>
      <c r="AD1037" s="26"/>
      <c r="AE1037" s="26"/>
      <c r="AF1037" s="26"/>
      <c r="AG1037" s="26"/>
      <c r="AH1037" s="26"/>
      <c r="AI1037" s="26"/>
      <c r="AJ1037" s="26"/>
      <c r="AK1037" s="26"/>
      <c r="AL1037" s="26"/>
      <c r="AM1037" s="26"/>
      <c r="AN1037" s="26"/>
      <c r="AO1037" s="26"/>
      <c r="AP1037" s="26"/>
      <c r="AQ1037" s="26"/>
      <c r="AR1037" s="26"/>
      <c r="AS1037" s="26"/>
      <c r="AT1037" s="26"/>
      <c r="AU1037" s="26"/>
      <c r="AV1037" s="26"/>
      <c r="AW1037" s="26"/>
      <c r="AX1037" s="26"/>
      <c r="AY1037" s="26"/>
    </row>
    <row r="1038" spans="2:51" x14ac:dyDescent="0.25">
      <c r="S1038" s="26"/>
      <c r="T1038" s="26"/>
      <c r="U1038" s="26"/>
      <c r="V1038" s="26"/>
      <c r="W1038" s="26"/>
      <c r="X1038" s="26"/>
      <c r="Y1038" s="26"/>
      <c r="Z1038" s="26"/>
      <c r="AA1038" s="26"/>
      <c r="AB1038" s="26"/>
      <c r="AC1038" s="26"/>
      <c r="AD1038" s="26"/>
      <c r="AE1038" s="26"/>
      <c r="AF1038" s="26"/>
      <c r="AG1038" s="26"/>
      <c r="AH1038" s="26"/>
      <c r="AI1038" s="26"/>
      <c r="AJ1038" s="26"/>
      <c r="AK1038" s="26"/>
      <c r="AL1038" s="26"/>
      <c r="AM1038" s="26"/>
      <c r="AN1038" s="26"/>
      <c r="AO1038" s="26"/>
      <c r="AP1038" s="26"/>
      <c r="AQ1038" s="26"/>
      <c r="AR1038" s="26"/>
      <c r="AS1038" s="26"/>
      <c r="AT1038" s="26"/>
      <c r="AU1038" s="26"/>
      <c r="AV1038" s="26"/>
      <c r="AW1038" s="26"/>
      <c r="AX1038" s="26"/>
      <c r="AY1038" s="26"/>
    </row>
    <row r="1039" spans="2:51" x14ac:dyDescent="0.25">
      <c r="S1039" s="26"/>
      <c r="T1039" s="26"/>
      <c r="U1039" s="26"/>
      <c r="V1039" s="26"/>
      <c r="W1039" s="26"/>
      <c r="X1039" s="26"/>
      <c r="Y1039" s="26"/>
      <c r="Z1039" s="26"/>
      <c r="AA1039" s="26"/>
      <c r="AB1039" s="26"/>
      <c r="AC1039" s="26"/>
      <c r="AD1039" s="26"/>
      <c r="AE1039" s="26"/>
      <c r="AF1039" s="26"/>
      <c r="AG1039" s="26"/>
      <c r="AH1039" s="26"/>
      <c r="AI1039" s="26"/>
      <c r="AJ1039" s="26"/>
      <c r="AK1039" s="26"/>
      <c r="AL1039" s="26"/>
      <c r="AM1039" s="26"/>
      <c r="AN1039" s="26"/>
      <c r="AO1039" s="26"/>
      <c r="AP1039" s="26"/>
      <c r="AQ1039" s="26"/>
      <c r="AR1039" s="26"/>
      <c r="AS1039" s="26"/>
      <c r="AT1039" s="26"/>
      <c r="AU1039" s="26"/>
      <c r="AV1039" s="26"/>
      <c r="AW1039" s="26"/>
      <c r="AX1039" s="26"/>
      <c r="AY1039" s="26"/>
    </row>
    <row r="1040" spans="2:51" x14ac:dyDescent="0.25">
      <c r="S1040" s="26"/>
      <c r="T1040" s="26"/>
      <c r="U1040" s="26"/>
      <c r="V1040" s="26"/>
      <c r="W1040" s="26"/>
      <c r="X1040" s="26"/>
      <c r="Y1040" s="26"/>
      <c r="Z1040" s="26"/>
      <c r="AA1040" s="26"/>
      <c r="AB1040" s="26"/>
      <c r="AC1040" s="26"/>
      <c r="AD1040" s="26"/>
      <c r="AE1040" s="26"/>
      <c r="AF1040" s="26"/>
      <c r="AG1040" s="26"/>
      <c r="AH1040" s="26"/>
      <c r="AI1040" s="26"/>
      <c r="AJ1040" s="26"/>
      <c r="AK1040" s="26"/>
      <c r="AL1040" s="26"/>
      <c r="AM1040" s="26"/>
      <c r="AN1040" s="26"/>
      <c r="AO1040" s="26"/>
      <c r="AP1040" s="26"/>
      <c r="AQ1040" s="26"/>
      <c r="AR1040" s="26"/>
      <c r="AS1040" s="26"/>
      <c r="AT1040" s="26"/>
      <c r="AU1040" s="26"/>
      <c r="AV1040" s="26"/>
      <c r="AW1040" s="26"/>
      <c r="AX1040" s="26"/>
      <c r="AY1040" s="26"/>
    </row>
    <row r="1041" spans="19:51" x14ac:dyDescent="0.25">
      <c r="S1041" s="26"/>
      <c r="T1041" s="26"/>
      <c r="U1041" s="26"/>
      <c r="V1041" s="26"/>
      <c r="W1041" s="26"/>
      <c r="X1041" s="26"/>
      <c r="Y1041" s="26"/>
      <c r="Z1041" s="26"/>
      <c r="AA1041" s="26"/>
      <c r="AB1041" s="26"/>
      <c r="AC1041" s="26"/>
      <c r="AD1041" s="26"/>
      <c r="AE1041" s="26"/>
      <c r="AF1041" s="26"/>
      <c r="AG1041" s="26"/>
      <c r="AH1041" s="26"/>
      <c r="AI1041" s="26"/>
      <c r="AJ1041" s="26"/>
      <c r="AK1041" s="26"/>
      <c r="AL1041" s="26"/>
      <c r="AM1041" s="26"/>
      <c r="AN1041" s="26"/>
      <c r="AO1041" s="26"/>
      <c r="AP1041" s="26"/>
      <c r="AQ1041" s="26"/>
      <c r="AR1041" s="26"/>
      <c r="AS1041" s="26"/>
      <c r="AT1041" s="26"/>
      <c r="AU1041" s="26"/>
      <c r="AV1041" s="26"/>
      <c r="AW1041" s="26"/>
      <c r="AX1041" s="26"/>
      <c r="AY1041" s="26"/>
    </row>
    <row r="1042" spans="19:51" x14ac:dyDescent="0.25">
      <c r="S1042" s="26"/>
      <c r="T1042" s="26"/>
      <c r="U1042" s="26"/>
      <c r="V1042" s="26"/>
      <c r="W1042" s="26"/>
      <c r="X1042" s="26"/>
      <c r="Y1042" s="26"/>
      <c r="Z1042" s="26"/>
      <c r="AA1042" s="26"/>
      <c r="AB1042" s="26"/>
      <c r="AC1042" s="26"/>
      <c r="AD1042" s="26"/>
      <c r="AE1042" s="26"/>
      <c r="AF1042" s="26"/>
      <c r="AG1042" s="26"/>
      <c r="AH1042" s="26"/>
      <c r="AI1042" s="26"/>
      <c r="AJ1042" s="26"/>
      <c r="AK1042" s="26"/>
      <c r="AL1042" s="26"/>
      <c r="AM1042" s="26"/>
      <c r="AN1042" s="26"/>
      <c r="AO1042" s="26"/>
      <c r="AP1042" s="26"/>
      <c r="AQ1042" s="26"/>
      <c r="AR1042" s="26"/>
      <c r="AS1042" s="26"/>
      <c r="AT1042" s="26"/>
      <c r="AU1042" s="26"/>
      <c r="AV1042" s="26"/>
      <c r="AW1042" s="26"/>
      <c r="AX1042" s="26"/>
      <c r="AY1042" s="26"/>
    </row>
    <row r="1043" spans="19:51" x14ac:dyDescent="0.25">
      <c r="S1043" s="26"/>
      <c r="T1043" s="26"/>
      <c r="U1043" s="26"/>
      <c r="V1043" s="26"/>
      <c r="W1043" s="26"/>
      <c r="X1043" s="26"/>
      <c r="Y1043" s="26"/>
      <c r="Z1043" s="26"/>
      <c r="AA1043" s="26"/>
      <c r="AB1043" s="26"/>
      <c r="AC1043" s="26"/>
      <c r="AD1043" s="26"/>
      <c r="AE1043" s="26"/>
      <c r="AF1043" s="26"/>
      <c r="AG1043" s="26"/>
      <c r="AH1043" s="26"/>
      <c r="AI1043" s="26"/>
      <c r="AJ1043" s="26"/>
      <c r="AK1043" s="26"/>
      <c r="AL1043" s="26"/>
      <c r="AM1043" s="26"/>
      <c r="AN1043" s="26"/>
      <c r="AO1043" s="26"/>
      <c r="AP1043" s="26"/>
      <c r="AQ1043" s="26"/>
      <c r="AR1043" s="26"/>
      <c r="AS1043" s="26"/>
      <c r="AT1043" s="26"/>
      <c r="AU1043" s="26"/>
      <c r="AV1043" s="26"/>
      <c r="AW1043" s="26"/>
      <c r="AX1043" s="26"/>
      <c r="AY1043" s="26"/>
    </row>
    <row r="1044" spans="19:51" x14ac:dyDescent="0.25">
      <c r="S1044" s="26"/>
      <c r="T1044" s="26"/>
      <c r="U1044" s="26"/>
      <c r="V1044" s="26"/>
      <c r="W1044" s="26"/>
      <c r="X1044" s="26"/>
      <c r="Y1044" s="26"/>
      <c r="Z1044" s="26"/>
      <c r="AA1044" s="26"/>
      <c r="AB1044" s="26"/>
      <c r="AC1044" s="26"/>
      <c r="AD1044" s="26"/>
      <c r="AE1044" s="26"/>
      <c r="AF1044" s="26"/>
      <c r="AG1044" s="26"/>
      <c r="AH1044" s="26"/>
      <c r="AI1044" s="26"/>
      <c r="AJ1044" s="26"/>
      <c r="AK1044" s="26"/>
      <c r="AL1044" s="26"/>
      <c r="AM1044" s="26"/>
      <c r="AN1044" s="26"/>
      <c r="AO1044" s="26"/>
      <c r="AP1044" s="26"/>
      <c r="AQ1044" s="26"/>
      <c r="AR1044" s="26"/>
      <c r="AS1044" s="26"/>
      <c r="AT1044" s="26"/>
      <c r="AU1044" s="26"/>
      <c r="AV1044" s="26"/>
      <c r="AW1044" s="26"/>
      <c r="AX1044" s="26"/>
      <c r="AY1044" s="26"/>
    </row>
    <row r="1045" spans="19:51" x14ac:dyDescent="0.25">
      <c r="S1045" s="26"/>
      <c r="T1045" s="26"/>
      <c r="U1045" s="26"/>
      <c r="V1045" s="26"/>
      <c r="W1045" s="26"/>
      <c r="X1045" s="26"/>
      <c r="Y1045" s="26"/>
      <c r="Z1045" s="26"/>
      <c r="AA1045" s="26"/>
      <c r="AB1045" s="26"/>
      <c r="AC1045" s="26"/>
      <c r="AD1045" s="26"/>
      <c r="AE1045" s="26"/>
      <c r="AF1045" s="26"/>
      <c r="AG1045" s="26"/>
      <c r="AH1045" s="26"/>
      <c r="AI1045" s="26"/>
      <c r="AJ1045" s="26"/>
      <c r="AK1045" s="26"/>
      <c r="AL1045" s="26"/>
      <c r="AM1045" s="26"/>
      <c r="AN1045" s="26"/>
      <c r="AO1045" s="26"/>
      <c r="AP1045" s="26"/>
      <c r="AQ1045" s="26"/>
      <c r="AR1045" s="26"/>
      <c r="AS1045" s="26"/>
      <c r="AT1045" s="26"/>
      <c r="AU1045" s="26"/>
      <c r="AV1045" s="26"/>
      <c r="AW1045" s="26"/>
      <c r="AX1045" s="26"/>
      <c r="AY1045" s="26"/>
    </row>
    <row r="1046" spans="19:51" x14ac:dyDescent="0.25">
      <c r="S1046" s="26"/>
      <c r="T1046" s="26"/>
      <c r="U1046" s="26"/>
      <c r="V1046" s="26"/>
      <c r="W1046" s="26"/>
      <c r="X1046" s="26"/>
      <c r="Y1046" s="26"/>
      <c r="Z1046" s="26"/>
      <c r="AA1046" s="26"/>
      <c r="AB1046" s="26"/>
      <c r="AC1046" s="26"/>
      <c r="AD1046" s="26"/>
      <c r="AE1046" s="26"/>
      <c r="AF1046" s="26"/>
      <c r="AG1046" s="26"/>
      <c r="AH1046" s="26"/>
      <c r="AI1046" s="26"/>
      <c r="AJ1046" s="26"/>
      <c r="AK1046" s="26"/>
      <c r="AL1046" s="26"/>
      <c r="AM1046" s="26"/>
      <c r="AN1046" s="26"/>
      <c r="AO1046" s="26"/>
      <c r="AP1046" s="26"/>
      <c r="AQ1046" s="26"/>
      <c r="AR1046" s="26"/>
      <c r="AS1046" s="26"/>
      <c r="AT1046" s="26"/>
      <c r="AU1046" s="26"/>
      <c r="AV1046" s="26"/>
      <c r="AW1046" s="26"/>
      <c r="AX1046" s="26"/>
      <c r="AY1046" s="26"/>
    </row>
    <row r="1047" spans="19:51" x14ac:dyDescent="0.25">
      <c r="S1047" s="26"/>
      <c r="T1047" s="26"/>
      <c r="U1047" s="26"/>
      <c r="V1047" s="26"/>
      <c r="W1047" s="26"/>
      <c r="X1047" s="26"/>
      <c r="Y1047" s="26"/>
      <c r="Z1047" s="26"/>
      <c r="AA1047" s="26"/>
      <c r="AB1047" s="26"/>
      <c r="AC1047" s="26"/>
      <c r="AD1047" s="26"/>
      <c r="AE1047" s="26"/>
      <c r="AF1047" s="26"/>
      <c r="AG1047" s="26"/>
      <c r="AH1047" s="26"/>
      <c r="AI1047" s="26"/>
      <c r="AJ1047" s="26"/>
      <c r="AK1047" s="26"/>
      <c r="AL1047" s="26"/>
      <c r="AM1047" s="26"/>
      <c r="AN1047" s="26"/>
      <c r="AO1047" s="26"/>
      <c r="AP1047" s="26"/>
      <c r="AQ1047" s="26"/>
      <c r="AR1047" s="26"/>
      <c r="AS1047" s="26"/>
      <c r="AT1047" s="26"/>
      <c r="AU1047" s="26"/>
      <c r="AV1047" s="26"/>
      <c r="AW1047" s="26"/>
      <c r="AX1047" s="26"/>
      <c r="AY1047" s="26"/>
    </row>
    <row r="1048" spans="19:51" x14ac:dyDescent="0.25">
      <c r="S1048" s="26"/>
      <c r="T1048" s="26"/>
      <c r="U1048" s="26"/>
      <c r="V1048" s="26"/>
      <c r="W1048" s="26"/>
      <c r="X1048" s="26"/>
      <c r="Y1048" s="26"/>
      <c r="Z1048" s="26"/>
      <c r="AA1048" s="26"/>
      <c r="AB1048" s="26"/>
      <c r="AC1048" s="26"/>
      <c r="AD1048" s="26"/>
      <c r="AE1048" s="26"/>
      <c r="AF1048" s="26"/>
      <c r="AG1048" s="26"/>
      <c r="AH1048" s="26"/>
      <c r="AI1048" s="26"/>
      <c r="AJ1048" s="26"/>
      <c r="AK1048" s="26"/>
      <c r="AL1048" s="26"/>
      <c r="AM1048" s="26"/>
      <c r="AN1048" s="26"/>
      <c r="AO1048" s="26"/>
      <c r="AP1048" s="26"/>
      <c r="AQ1048" s="26"/>
      <c r="AR1048" s="26"/>
      <c r="AS1048" s="26"/>
      <c r="AT1048" s="26"/>
      <c r="AU1048" s="26"/>
      <c r="AV1048" s="26"/>
      <c r="AW1048" s="26"/>
      <c r="AX1048" s="26"/>
      <c r="AY1048" s="26"/>
    </row>
    <row r="1049" spans="19:51" x14ac:dyDescent="0.25">
      <c r="S1049" s="26"/>
      <c r="T1049" s="26"/>
      <c r="U1049" s="26"/>
      <c r="V1049" s="26"/>
      <c r="W1049" s="26"/>
      <c r="X1049" s="26"/>
      <c r="Y1049" s="26"/>
      <c r="Z1049" s="26"/>
      <c r="AA1049" s="26"/>
      <c r="AB1049" s="26"/>
      <c r="AC1049" s="26"/>
      <c r="AD1049" s="26"/>
      <c r="AE1049" s="26"/>
      <c r="AF1049" s="26"/>
      <c r="AG1049" s="26"/>
      <c r="AH1049" s="26"/>
      <c r="AI1049" s="26"/>
      <c r="AJ1049" s="26"/>
      <c r="AK1049" s="26"/>
      <c r="AL1049" s="26"/>
      <c r="AM1049" s="26"/>
      <c r="AN1049" s="26"/>
      <c r="AO1049" s="26"/>
      <c r="AP1049" s="26"/>
      <c r="AQ1049" s="26"/>
      <c r="AR1049" s="26"/>
      <c r="AS1049" s="26"/>
      <c r="AT1049" s="26"/>
      <c r="AU1049" s="26"/>
      <c r="AV1049" s="26"/>
      <c r="AW1049" s="26"/>
      <c r="AX1049" s="26"/>
      <c r="AY1049" s="26"/>
    </row>
    <row r="1050" spans="19:51" x14ac:dyDescent="0.25">
      <c r="S1050" s="26"/>
      <c r="T1050" s="26"/>
      <c r="U1050" s="26"/>
      <c r="V1050" s="26"/>
      <c r="W1050" s="26"/>
      <c r="X1050" s="26"/>
      <c r="Y1050" s="26"/>
      <c r="Z1050" s="26"/>
      <c r="AA1050" s="26"/>
      <c r="AB1050" s="26"/>
      <c r="AC1050" s="26"/>
      <c r="AD1050" s="26"/>
      <c r="AE1050" s="26"/>
      <c r="AF1050" s="26"/>
      <c r="AG1050" s="26"/>
      <c r="AH1050" s="26"/>
      <c r="AI1050" s="26"/>
      <c r="AJ1050" s="26"/>
      <c r="AK1050" s="26"/>
      <c r="AL1050" s="26"/>
      <c r="AM1050" s="26"/>
      <c r="AN1050" s="26"/>
      <c r="AO1050" s="26"/>
      <c r="AP1050" s="26"/>
      <c r="AQ1050" s="26"/>
      <c r="AR1050" s="26"/>
      <c r="AS1050" s="26"/>
      <c r="AT1050" s="26"/>
      <c r="AU1050" s="26"/>
      <c r="AV1050" s="26"/>
      <c r="AW1050" s="26"/>
      <c r="AX1050" s="26"/>
      <c r="AY1050" s="26"/>
    </row>
    <row r="1051" spans="19:51" x14ac:dyDescent="0.25">
      <c r="S1051" s="26"/>
      <c r="T1051" s="26"/>
      <c r="U1051" s="26"/>
      <c r="V1051" s="26"/>
      <c r="W1051" s="26"/>
      <c r="X1051" s="26"/>
      <c r="Y1051" s="26"/>
      <c r="Z1051" s="26"/>
      <c r="AA1051" s="26"/>
      <c r="AB1051" s="26"/>
      <c r="AC1051" s="26"/>
      <c r="AD1051" s="26"/>
      <c r="AE1051" s="26"/>
      <c r="AF1051" s="26"/>
      <c r="AG1051" s="26"/>
      <c r="AH1051" s="26"/>
      <c r="AI1051" s="26"/>
      <c r="AJ1051" s="26"/>
      <c r="AK1051" s="26"/>
      <c r="AL1051" s="26"/>
      <c r="AM1051" s="26"/>
      <c r="AN1051" s="26"/>
      <c r="AO1051" s="26"/>
      <c r="AP1051" s="26"/>
      <c r="AQ1051" s="26"/>
      <c r="AR1051" s="26"/>
      <c r="AS1051" s="26"/>
      <c r="AT1051" s="26"/>
      <c r="AU1051" s="26"/>
      <c r="AV1051" s="26"/>
      <c r="AW1051" s="26"/>
      <c r="AX1051" s="26"/>
      <c r="AY1051" s="26"/>
    </row>
    <row r="1052" spans="19:51" x14ac:dyDescent="0.25">
      <c r="S1052" s="26"/>
      <c r="T1052" s="26"/>
      <c r="U1052" s="26"/>
      <c r="V1052" s="26"/>
      <c r="W1052" s="26"/>
      <c r="X1052" s="26"/>
      <c r="Y1052" s="26"/>
      <c r="Z1052" s="26"/>
      <c r="AA1052" s="26"/>
      <c r="AB1052" s="26"/>
      <c r="AC1052" s="26"/>
      <c r="AD1052" s="26"/>
      <c r="AE1052" s="26"/>
      <c r="AF1052" s="26"/>
      <c r="AG1052" s="26"/>
      <c r="AH1052" s="26"/>
      <c r="AI1052" s="26"/>
      <c r="AJ1052" s="26"/>
      <c r="AK1052" s="26"/>
      <c r="AL1052" s="26"/>
      <c r="AM1052" s="26"/>
      <c r="AN1052" s="26"/>
      <c r="AO1052" s="26"/>
      <c r="AP1052" s="26"/>
      <c r="AQ1052" s="26"/>
      <c r="AR1052" s="26"/>
      <c r="AS1052" s="26"/>
      <c r="AT1052" s="26"/>
      <c r="AU1052" s="26"/>
      <c r="AV1052" s="26"/>
      <c r="AW1052" s="26"/>
      <c r="AX1052" s="26"/>
      <c r="AY1052" s="26"/>
    </row>
    <row r="1053" spans="19:51" x14ac:dyDescent="0.25">
      <c r="S1053" s="26"/>
      <c r="T1053" s="26"/>
      <c r="U1053" s="26"/>
      <c r="V1053" s="26"/>
      <c r="W1053" s="26"/>
      <c r="X1053" s="26"/>
      <c r="Y1053" s="26"/>
      <c r="Z1053" s="26"/>
      <c r="AA1053" s="26"/>
      <c r="AB1053" s="26"/>
      <c r="AC1053" s="26"/>
      <c r="AD1053" s="26"/>
      <c r="AE1053" s="26"/>
      <c r="AF1053" s="26"/>
      <c r="AG1053" s="26"/>
      <c r="AH1053" s="26"/>
      <c r="AI1053" s="26"/>
      <c r="AJ1053" s="26"/>
      <c r="AK1053" s="26"/>
      <c r="AL1053" s="26"/>
      <c r="AM1053" s="26"/>
      <c r="AN1053" s="26"/>
      <c r="AO1053" s="26"/>
      <c r="AP1053" s="26"/>
      <c r="AQ1053" s="26"/>
      <c r="AR1053" s="26"/>
      <c r="AS1053" s="26"/>
      <c r="AT1053" s="26"/>
      <c r="AU1053" s="26"/>
      <c r="AV1053" s="26"/>
      <c r="AW1053" s="26"/>
      <c r="AX1053" s="26"/>
      <c r="AY1053" s="26"/>
    </row>
    <row r="1054" spans="19:51" x14ac:dyDescent="0.25">
      <c r="S1054" s="26"/>
      <c r="T1054" s="26"/>
      <c r="U1054" s="26"/>
      <c r="V1054" s="26"/>
      <c r="W1054" s="26"/>
      <c r="X1054" s="26"/>
      <c r="Y1054" s="26"/>
      <c r="Z1054" s="26"/>
      <c r="AA1054" s="26"/>
      <c r="AB1054" s="26"/>
      <c r="AC1054" s="26"/>
      <c r="AD1054" s="26"/>
      <c r="AE1054" s="26"/>
      <c r="AF1054" s="26"/>
      <c r="AG1054" s="26"/>
      <c r="AH1054" s="26"/>
      <c r="AI1054" s="26"/>
      <c r="AJ1054" s="26"/>
      <c r="AK1054" s="26"/>
      <c r="AL1054" s="26"/>
      <c r="AM1054" s="26"/>
      <c r="AN1054" s="26"/>
      <c r="AO1054" s="26"/>
      <c r="AP1054" s="26"/>
      <c r="AQ1054" s="26"/>
      <c r="AR1054" s="26"/>
      <c r="AS1054" s="26"/>
      <c r="AT1054" s="26"/>
      <c r="AU1054" s="26"/>
      <c r="AV1054" s="26"/>
      <c r="AW1054" s="26"/>
      <c r="AX1054" s="26"/>
      <c r="AY1054" s="26"/>
    </row>
    <row r="1055" spans="19:51" x14ac:dyDescent="0.25">
      <c r="S1055" s="26"/>
      <c r="T1055" s="26"/>
      <c r="U1055" s="26"/>
      <c r="V1055" s="26"/>
      <c r="W1055" s="26"/>
      <c r="X1055" s="26"/>
      <c r="Y1055" s="26"/>
      <c r="Z1055" s="26"/>
      <c r="AA1055" s="26"/>
      <c r="AB1055" s="26"/>
      <c r="AC1055" s="26"/>
      <c r="AD1055" s="26"/>
      <c r="AE1055" s="26"/>
      <c r="AF1055" s="26"/>
      <c r="AG1055" s="26"/>
      <c r="AH1055" s="26"/>
      <c r="AI1055" s="26"/>
      <c r="AJ1055" s="26"/>
      <c r="AK1055" s="26"/>
      <c r="AL1055" s="26"/>
      <c r="AM1055" s="26"/>
      <c r="AN1055" s="26"/>
      <c r="AO1055" s="26"/>
      <c r="AP1055" s="26"/>
      <c r="AQ1055" s="26"/>
      <c r="AR1055" s="26"/>
      <c r="AS1055" s="26"/>
      <c r="AT1055" s="26"/>
      <c r="AU1055" s="26"/>
      <c r="AV1055" s="26"/>
      <c r="AW1055" s="26"/>
      <c r="AX1055" s="26"/>
      <c r="AY1055" s="26"/>
    </row>
    <row r="1056" spans="19:51" x14ac:dyDescent="0.25">
      <c r="S1056" s="26"/>
      <c r="T1056" s="26"/>
      <c r="U1056" s="26"/>
      <c r="V1056" s="26"/>
      <c r="W1056" s="26"/>
      <c r="X1056" s="26"/>
      <c r="Y1056" s="26"/>
      <c r="Z1056" s="26"/>
      <c r="AA1056" s="26"/>
      <c r="AB1056" s="26"/>
      <c r="AC1056" s="26"/>
      <c r="AD1056" s="26"/>
      <c r="AE1056" s="26"/>
      <c r="AF1056" s="26"/>
      <c r="AG1056" s="26"/>
      <c r="AH1056" s="26"/>
      <c r="AI1056" s="26"/>
      <c r="AJ1056" s="26"/>
      <c r="AK1056" s="26"/>
      <c r="AL1056" s="26"/>
      <c r="AM1056" s="26"/>
      <c r="AN1056" s="26"/>
      <c r="AO1056" s="26"/>
      <c r="AP1056" s="26"/>
      <c r="AQ1056" s="26"/>
      <c r="AR1056" s="26"/>
      <c r="AS1056" s="26"/>
      <c r="AT1056" s="26"/>
      <c r="AU1056" s="26"/>
      <c r="AV1056" s="26"/>
      <c r="AW1056" s="26"/>
      <c r="AX1056" s="26"/>
      <c r="AY1056" s="26"/>
    </row>
    <row r="1057" spans="2:51" x14ac:dyDescent="0.25">
      <c r="C1057" s="60"/>
      <c r="D1057" s="60"/>
      <c r="S1057" s="26"/>
      <c r="T1057" s="26"/>
      <c r="U1057" s="26"/>
      <c r="V1057" s="26"/>
      <c r="W1057" s="26"/>
      <c r="X1057" s="26"/>
      <c r="Y1057" s="26"/>
      <c r="Z1057" s="26"/>
      <c r="AA1057" s="26"/>
      <c r="AB1057" s="26"/>
      <c r="AC1057" s="26"/>
      <c r="AD1057" s="26"/>
      <c r="AE1057" s="26"/>
      <c r="AF1057" s="26"/>
      <c r="AG1057" s="26"/>
      <c r="AH1057" s="26"/>
      <c r="AI1057" s="26"/>
      <c r="AJ1057" s="26"/>
      <c r="AK1057" s="26"/>
      <c r="AL1057" s="26"/>
      <c r="AM1057" s="26"/>
      <c r="AN1057" s="26"/>
      <c r="AO1057" s="26"/>
      <c r="AP1057" s="26"/>
      <c r="AQ1057" s="26"/>
      <c r="AR1057" s="26"/>
      <c r="AS1057" s="26"/>
      <c r="AT1057" s="26"/>
      <c r="AU1057" s="26"/>
      <c r="AV1057" s="26"/>
      <c r="AW1057" s="26"/>
      <c r="AX1057" s="26"/>
      <c r="AY1057" s="26"/>
    </row>
    <row r="1058" spans="2:51" x14ac:dyDescent="0.25">
      <c r="C1058" s="60"/>
      <c r="D1058" s="60"/>
      <c r="S1058" s="26"/>
      <c r="T1058" s="26"/>
      <c r="U1058" s="26"/>
      <c r="V1058" s="26"/>
      <c r="W1058" s="26"/>
      <c r="X1058" s="26"/>
      <c r="Y1058" s="26"/>
      <c r="Z1058" s="26"/>
      <c r="AA1058" s="26"/>
      <c r="AB1058" s="26"/>
      <c r="AC1058" s="26"/>
      <c r="AD1058" s="26"/>
      <c r="AE1058" s="26"/>
      <c r="AF1058" s="26"/>
      <c r="AG1058" s="26"/>
      <c r="AH1058" s="26"/>
      <c r="AI1058" s="26"/>
      <c r="AJ1058" s="26"/>
      <c r="AK1058" s="26"/>
      <c r="AL1058" s="26"/>
      <c r="AM1058" s="26"/>
      <c r="AN1058" s="26"/>
      <c r="AO1058" s="26"/>
      <c r="AP1058" s="26"/>
      <c r="AQ1058" s="26"/>
      <c r="AR1058" s="26"/>
      <c r="AS1058" s="26"/>
      <c r="AT1058" s="26"/>
      <c r="AU1058" s="26"/>
      <c r="AV1058" s="26"/>
      <c r="AW1058" s="26"/>
      <c r="AX1058" s="26"/>
      <c r="AY1058" s="26"/>
    </row>
    <row r="1059" spans="2:51" x14ac:dyDescent="0.25">
      <c r="C1059" s="60"/>
      <c r="D1059" s="60"/>
      <c r="S1059" s="26"/>
      <c r="T1059" s="26"/>
      <c r="U1059" s="26"/>
      <c r="V1059" s="26"/>
      <c r="W1059" s="26"/>
      <c r="X1059" s="26"/>
      <c r="Y1059" s="26"/>
      <c r="Z1059" s="26"/>
      <c r="AA1059" s="26"/>
      <c r="AB1059" s="26"/>
      <c r="AC1059" s="26"/>
      <c r="AD1059" s="26"/>
      <c r="AE1059" s="26"/>
      <c r="AF1059" s="26"/>
      <c r="AG1059" s="26"/>
      <c r="AH1059" s="26"/>
      <c r="AI1059" s="26"/>
      <c r="AJ1059" s="26"/>
      <c r="AK1059" s="26"/>
      <c r="AL1059" s="26"/>
      <c r="AM1059" s="26"/>
      <c r="AN1059" s="26"/>
      <c r="AO1059" s="26"/>
      <c r="AP1059" s="26"/>
      <c r="AQ1059" s="26"/>
      <c r="AR1059" s="26"/>
      <c r="AS1059" s="26"/>
      <c r="AT1059" s="26"/>
      <c r="AU1059" s="26"/>
      <c r="AV1059" s="26"/>
      <c r="AW1059" s="26"/>
      <c r="AX1059" s="26"/>
      <c r="AY1059" s="26"/>
    </row>
    <row r="1060" spans="2:51" x14ac:dyDescent="0.25">
      <c r="E1060" s="16"/>
      <c r="F1060" s="16"/>
      <c r="G1060" s="16"/>
      <c r="H1060" s="16"/>
      <c r="I1060" s="16"/>
      <c r="J1060" s="16"/>
      <c r="K1060" s="16"/>
      <c r="L1060" s="16"/>
      <c r="M1060" s="16"/>
      <c r="N1060" s="16"/>
      <c r="O1060" s="16"/>
      <c r="S1060" s="38"/>
      <c r="T1060" s="38"/>
      <c r="U1060" s="38"/>
      <c r="V1060" s="38"/>
      <c r="W1060" s="26"/>
      <c r="X1060" s="26"/>
      <c r="Y1060" s="26"/>
      <c r="Z1060" s="26"/>
      <c r="AA1060" s="26"/>
      <c r="AB1060" s="26"/>
      <c r="AC1060" s="26"/>
      <c r="AD1060" s="26"/>
      <c r="AE1060" s="26"/>
      <c r="AF1060" s="26"/>
      <c r="AG1060" s="26"/>
      <c r="AH1060" s="26"/>
      <c r="AI1060" s="26"/>
      <c r="AJ1060" s="26"/>
      <c r="AK1060" s="26"/>
      <c r="AL1060" s="26"/>
      <c r="AM1060" s="26"/>
      <c r="AN1060" s="26"/>
      <c r="AO1060" s="26"/>
      <c r="AP1060" s="26"/>
      <c r="AQ1060" s="26"/>
      <c r="AR1060" s="26"/>
      <c r="AS1060" s="26"/>
      <c r="AT1060" s="26"/>
      <c r="AU1060" s="26"/>
      <c r="AV1060" s="26"/>
      <c r="AW1060" s="26"/>
      <c r="AX1060" s="26"/>
      <c r="AY1060" s="26"/>
    </row>
    <row r="1061" spans="2:51" x14ac:dyDescent="0.25">
      <c r="B1061" s="30" t="s">
        <v>226</v>
      </c>
      <c r="C1061" s="37" t="s">
        <v>129</v>
      </c>
      <c r="D1061" s="37" t="s">
        <v>129</v>
      </c>
      <c r="S1061" s="26"/>
      <c r="T1061" s="26"/>
      <c r="U1061" s="26"/>
      <c r="V1061" s="26"/>
      <c r="W1061" s="26"/>
      <c r="X1061" s="26"/>
      <c r="Y1061" s="26"/>
      <c r="Z1061" s="26"/>
      <c r="AA1061" s="26"/>
      <c r="AB1061" s="26"/>
      <c r="AC1061" s="26"/>
      <c r="AD1061" s="26"/>
      <c r="AE1061" s="26"/>
      <c r="AF1061" s="26"/>
      <c r="AG1061" s="26"/>
      <c r="AH1061" s="26"/>
      <c r="AI1061" s="26"/>
      <c r="AJ1061" s="26"/>
      <c r="AK1061" s="26"/>
      <c r="AL1061" s="26"/>
      <c r="AM1061" s="26"/>
      <c r="AN1061" s="26"/>
      <c r="AO1061" s="26"/>
      <c r="AP1061" s="26"/>
      <c r="AQ1061" s="26"/>
      <c r="AR1061" s="26"/>
      <c r="AS1061" s="26"/>
      <c r="AT1061" s="26"/>
      <c r="AU1061" s="26"/>
      <c r="AV1061" s="26"/>
      <c r="AW1061" s="26"/>
      <c r="AX1061" s="26"/>
      <c r="AY1061" s="26"/>
    </row>
    <row r="1062" spans="2:51" x14ac:dyDescent="0.25">
      <c r="B1062" s="14"/>
      <c r="C1062" s="37" t="s">
        <v>191</v>
      </c>
      <c r="D1062" s="37" t="s">
        <v>192</v>
      </c>
      <c r="S1062" s="26"/>
      <c r="T1062" s="26"/>
      <c r="U1062" s="26"/>
      <c r="V1062" s="26"/>
      <c r="W1062" s="26"/>
      <c r="X1062" s="26"/>
      <c r="Y1062" s="26"/>
      <c r="Z1062" s="26"/>
      <c r="AA1062" s="26"/>
      <c r="AB1062" s="26"/>
      <c r="AC1062" s="26"/>
      <c r="AD1062" s="26"/>
      <c r="AE1062" s="26"/>
      <c r="AF1062" s="26"/>
      <c r="AG1062" s="26"/>
      <c r="AH1062" s="26"/>
      <c r="AI1062" s="26"/>
      <c r="AJ1062" s="26"/>
      <c r="AK1062" s="26"/>
      <c r="AL1062" s="26"/>
      <c r="AM1062" s="26"/>
      <c r="AN1062" s="26"/>
      <c r="AO1062" s="26"/>
      <c r="AP1062" s="26"/>
      <c r="AQ1062" s="26"/>
      <c r="AR1062" s="26"/>
      <c r="AS1062" s="26"/>
      <c r="AT1062" s="26"/>
      <c r="AU1062" s="26"/>
      <c r="AV1062" s="26"/>
      <c r="AW1062" s="26"/>
      <c r="AX1062" s="26"/>
      <c r="AY1062" s="26"/>
    </row>
    <row r="1063" spans="2:51" x14ac:dyDescent="0.25">
      <c r="B1063" s="32" t="s">
        <v>193</v>
      </c>
      <c r="C1063" s="12"/>
      <c r="D1063" s="12" t="e">
        <f>SUM(#REF!)+#REF!+#REF!</f>
        <v>#REF!</v>
      </c>
      <c r="S1063" s="26"/>
      <c r="T1063" s="26"/>
      <c r="U1063" s="26"/>
      <c r="V1063" s="26"/>
      <c r="W1063" s="26"/>
      <c r="X1063" s="26"/>
      <c r="Y1063" s="26"/>
      <c r="Z1063" s="26"/>
      <c r="AA1063" s="26"/>
      <c r="AB1063" s="26"/>
      <c r="AC1063" s="26"/>
      <c r="AD1063" s="26"/>
      <c r="AE1063" s="26"/>
      <c r="AF1063" s="26"/>
      <c r="AG1063" s="26"/>
      <c r="AH1063" s="26"/>
      <c r="AI1063" s="26"/>
      <c r="AJ1063" s="26"/>
      <c r="AK1063" s="26"/>
      <c r="AL1063" s="26"/>
      <c r="AM1063" s="26"/>
      <c r="AN1063" s="26"/>
      <c r="AO1063" s="26"/>
      <c r="AP1063" s="26"/>
      <c r="AQ1063" s="26"/>
      <c r="AR1063" s="26"/>
      <c r="AS1063" s="26"/>
      <c r="AT1063" s="26"/>
      <c r="AU1063" s="26"/>
      <c r="AV1063" s="26"/>
      <c r="AW1063" s="26"/>
      <c r="AX1063" s="26"/>
      <c r="AY1063" s="26"/>
    </row>
    <row r="1064" spans="2:51" x14ac:dyDescent="0.25">
      <c r="B1064" s="32" t="s">
        <v>194</v>
      </c>
      <c r="C1064" s="12"/>
      <c r="D1064" s="12" t="e">
        <f>-(SUM(#REF!)+SUM(#REF!))-(#REF!+#REF!)-(#REF!+#REF!)-(#REF!+#REF!)-(#REF!+#REF!)-(#REF!+#REF!)</f>
        <v>#REF!</v>
      </c>
      <c r="S1064" s="26"/>
      <c r="T1064" s="26"/>
      <c r="U1064" s="26"/>
      <c r="V1064" s="26"/>
      <c r="W1064" s="26"/>
      <c r="X1064" s="26"/>
      <c r="Y1064" s="26"/>
      <c r="Z1064" s="26"/>
      <c r="AA1064" s="26"/>
      <c r="AB1064" s="26"/>
      <c r="AC1064" s="26"/>
      <c r="AD1064" s="26"/>
      <c r="AE1064" s="26"/>
      <c r="AF1064" s="26"/>
      <c r="AG1064" s="26"/>
      <c r="AH1064" s="26"/>
      <c r="AI1064" s="26"/>
      <c r="AJ1064" s="26"/>
      <c r="AK1064" s="26"/>
      <c r="AL1064" s="26"/>
      <c r="AM1064" s="26"/>
      <c r="AN1064" s="26"/>
      <c r="AO1064" s="26"/>
      <c r="AP1064" s="26"/>
      <c r="AQ1064" s="26"/>
      <c r="AR1064" s="26"/>
      <c r="AS1064" s="26"/>
      <c r="AT1064" s="26"/>
      <c r="AU1064" s="26"/>
      <c r="AV1064" s="26"/>
      <c r="AW1064" s="26"/>
      <c r="AX1064" s="26"/>
      <c r="AY1064" s="26"/>
    </row>
    <row r="1065" spans="2:51" x14ac:dyDescent="0.25">
      <c r="B1065" s="53" t="s">
        <v>195</v>
      </c>
      <c r="C1065" s="12"/>
      <c r="D1065" s="12" t="e">
        <f>#REF!+#REF!++#REF!+#REF!+#REF!+#REF!</f>
        <v>#REF!</v>
      </c>
      <c r="S1065" s="26"/>
      <c r="T1065" s="26"/>
      <c r="U1065" s="26"/>
      <c r="V1065" s="26"/>
      <c r="W1065" s="26"/>
      <c r="X1065" s="26"/>
      <c r="Y1065" s="26"/>
      <c r="Z1065" s="26"/>
      <c r="AA1065" s="26"/>
      <c r="AB1065" s="26"/>
      <c r="AC1065" s="26"/>
      <c r="AD1065" s="26"/>
      <c r="AE1065" s="26"/>
      <c r="AF1065" s="26"/>
      <c r="AG1065" s="26"/>
      <c r="AH1065" s="26"/>
      <c r="AI1065" s="26"/>
      <c r="AJ1065" s="26"/>
      <c r="AK1065" s="26"/>
      <c r="AL1065" s="26"/>
      <c r="AM1065" s="26"/>
      <c r="AN1065" s="26"/>
      <c r="AO1065" s="26"/>
      <c r="AP1065" s="26"/>
      <c r="AQ1065" s="26"/>
      <c r="AR1065" s="26"/>
      <c r="AS1065" s="26"/>
      <c r="AT1065" s="26"/>
      <c r="AU1065" s="26"/>
      <c r="AV1065" s="26"/>
      <c r="AW1065" s="26"/>
      <c r="AX1065" s="26"/>
      <c r="AY1065" s="26"/>
    </row>
    <row r="1066" spans="2:51" x14ac:dyDescent="0.25">
      <c r="B1066" s="53"/>
      <c r="C1066" s="12"/>
      <c r="D1066" s="12"/>
      <c r="S1066" s="26"/>
      <c r="T1066" s="26"/>
      <c r="U1066" s="26"/>
      <c r="V1066" s="26"/>
      <c r="W1066" s="26"/>
      <c r="X1066" s="26"/>
      <c r="Y1066" s="26"/>
      <c r="Z1066" s="26"/>
      <c r="AA1066" s="26"/>
      <c r="AB1066" s="26"/>
      <c r="AC1066" s="26"/>
      <c r="AD1066" s="26"/>
      <c r="AE1066" s="26"/>
      <c r="AF1066" s="26"/>
      <c r="AG1066" s="26"/>
      <c r="AH1066" s="26"/>
      <c r="AI1066" s="26"/>
      <c r="AJ1066" s="26"/>
      <c r="AK1066" s="26"/>
      <c r="AL1066" s="26"/>
      <c r="AM1066" s="26"/>
      <c r="AN1066" s="26"/>
      <c r="AO1066" s="26"/>
      <c r="AP1066" s="26"/>
      <c r="AQ1066" s="26"/>
      <c r="AR1066" s="26"/>
      <c r="AS1066" s="26"/>
      <c r="AT1066" s="26"/>
      <c r="AU1066" s="26"/>
      <c r="AV1066" s="26"/>
      <c r="AW1066" s="26"/>
      <c r="AX1066" s="26"/>
      <c r="AY1066" s="26"/>
    </row>
    <row r="1067" spans="2:51" x14ac:dyDescent="0.25">
      <c r="B1067" s="32" t="s">
        <v>135</v>
      </c>
      <c r="C1067"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067" s="12"/>
      <c r="S1067" s="26"/>
      <c r="T1067" s="26"/>
      <c r="U1067" s="26"/>
      <c r="V1067" s="26"/>
      <c r="W1067" s="26"/>
      <c r="X1067" s="26"/>
      <c r="Y1067" s="26"/>
      <c r="Z1067" s="26"/>
      <c r="AA1067" s="26"/>
      <c r="AB1067" s="26"/>
      <c r="AC1067" s="26"/>
      <c r="AD1067" s="26"/>
      <c r="AE1067" s="26"/>
      <c r="AF1067" s="26"/>
      <c r="AG1067" s="26"/>
      <c r="AH1067" s="26"/>
      <c r="AI1067" s="26"/>
      <c r="AJ1067" s="26"/>
      <c r="AK1067" s="26"/>
      <c r="AL1067" s="26"/>
      <c r="AM1067" s="26"/>
      <c r="AN1067" s="26"/>
      <c r="AO1067" s="26"/>
      <c r="AP1067" s="26"/>
      <c r="AQ1067" s="26"/>
      <c r="AR1067" s="26"/>
      <c r="AS1067" s="26"/>
      <c r="AT1067" s="26"/>
      <c r="AU1067" s="26"/>
      <c r="AV1067" s="26"/>
      <c r="AW1067" s="26"/>
      <c r="AX1067" s="26"/>
      <c r="AY1067" s="26"/>
    </row>
    <row r="1068" spans="2:51" x14ac:dyDescent="0.25">
      <c r="B1068" s="32" t="s">
        <v>132</v>
      </c>
      <c r="C1068"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068" s="12"/>
      <c r="J1068" s="16"/>
      <c r="S1068" s="26"/>
      <c r="T1068" s="26"/>
      <c r="U1068" s="26"/>
      <c r="V1068" s="26"/>
      <c r="W1068" s="26"/>
      <c r="X1068" s="26"/>
      <c r="Y1068" s="26"/>
      <c r="Z1068" s="26"/>
      <c r="AA1068" s="26"/>
      <c r="AB1068" s="26"/>
      <c r="AC1068" s="26"/>
      <c r="AD1068" s="26"/>
      <c r="AE1068" s="26"/>
      <c r="AF1068" s="26"/>
      <c r="AG1068" s="26"/>
      <c r="AH1068" s="26"/>
      <c r="AI1068" s="26"/>
      <c r="AJ1068" s="26"/>
      <c r="AK1068" s="26"/>
      <c r="AL1068" s="26"/>
      <c r="AM1068" s="26"/>
      <c r="AN1068" s="26"/>
      <c r="AO1068" s="26"/>
      <c r="AP1068" s="26"/>
      <c r="AQ1068" s="26"/>
      <c r="AR1068" s="26"/>
      <c r="AS1068" s="26"/>
      <c r="AT1068" s="26"/>
      <c r="AU1068" s="26"/>
      <c r="AV1068" s="26"/>
      <c r="AW1068" s="26"/>
      <c r="AX1068" s="26"/>
      <c r="AY1068" s="26"/>
    </row>
    <row r="1069" spans="2:51" x14ac:dyDescent="0.25">
      <c r="B1069" s="32" t="s">
        <v>134</v>
      </c>
      <c r="C1069"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069" s="12"/>
      <c r="F1069" s="101"/>
      <c r="G1069" s="101"/>
      <c r="J1069" s="16"/>
      <c r="S1069" s="26"/>
      <c r="T1069" s="26"/>
      <c r="U1069" s="26"/>
      <c r="V1069" s="26"/>
      <c r="W1069" s="26"/>
      <c r="X1069" s="26"/>
      <c r="Y1069" s="26"/>
      <c r="Z1069" s="26"/>
      <c r="AA1069" s="26"/>
      <c r="AB1069" s="26"/>
      <c r="AC1069" s="26"/>
      <c r="AD1069" s="26"/>
      <c r="AE1069" s="26"/>
      <c r="AF1069" s="26"/>
      <c r="AG1069" s="26"/>
      <c r="AH1069" s="26"/>
      <c r="AI1069" s="26"/>
      <c r="AJ1069" s="26"/>
      <c r="AK1069" s="26"/>
      <c r="AL1069" s="26"/>
      <c r="AM1069" s="26"/>
      <c r="AN1069" s="26"/>
      <c r="AO1069" s="26"/>
      <c r="AP1069" s="26"/>
      <c r="AQ1069" s="26"/>
      <c r="AR1069" s="26"/>
      <c r="AS1069" s="26"/>
      <c r="AT1069" s="26"/>
      <c r="AU1069" s="26"/>
      <c r="AV1069" s="26"/>
      <c r="AW1069" s="26"/>
      <c r="AX1069" s="26"/>
      <c r="AY1069" s="26"/>
    </row>
    <row r="1070" spans="2:51" x14ac:dyDescent="0.25">
      <c r="B1070" s="32" t="s">
        <v>199</v>
      </c>
      <c r="C1070"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070" s="12"/>
      <c r="F1070" s="101"/>
      <c r="G1070" s="101"/>
      <c r="J1070" s="16"/>
      <c r="S1070" s="26"/>
      <c r="T1070" s="26"/>
      <c r="U1070" s="26"/>
      <c r="V1070" s="26"/>
      <c r="W1070" s="26"/>
      <c r="X1070" s="26"/>
      <c r="Y1070" s="26"/>
      <c r="Z1070" s="26"/>
      <c r="AA1070" s="26"/>
      <c r="AB1070" s="26"/>
      <c r="AC1070" s="26"/>
      <c r="AD1070" s="26"/>
      <c r="AE1070" s="26"/>
      <c r="AF1070" s="26"/>
      <c r="AG1070" s="26"/>
      <c r="AH1070" s="26"/>
      <c r="AI1070" s="26"/>
      <c r="AJ1070" s="26"/>
      <c r="AK1070" s="26"/>
      <c r="AL1070" s="26"/>
      <c r="AM1070" s="26"/>
      <c r="AN1070" s="26"/>
      <c r="AO1070" s="26"/>
      <c r="AP1070" s="26"/>
      <c r="AQ1070" s="26"/>
      <c r="AR1070" s="26"/>
      <c r="AS1070" s="26"/>
      <c r="AT1070" s="26"/>
      <c r="AU1070" s="26"/>
      <c r="AV1070" s="26"/>
      <c r="AW1070" s="26"/>
      <c r="AX1070" s="26"/>
      <c r="AY1070" s="26"/>
    </row>
    <row r="1071" spans="2:51" x14ac:dyDescent="0.25">
      <c r="B1071" s="32" t="s">
        <v>138</v>
      </c>
      <c r="C1071"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071" s="12"/>
      <c r="J1071" s="16"/>
      <c r="S1071" s="26"/>
      <c r="T1071" s="26"/>
      <c r="U1071" s="26"/>
      <c r="V1071" s="26"/>
      <c r="W1071" s="26"/>
      <c r="X1071" s="26"/>
      <c r="Y1071" s="26"/>
      <c r="Z1071" s="26"/>
      <c r="AA1071" s="26"/>
      <c r="AB1071" s="26"/>
      <c r="AC1071" s="26"/>
      <c r="AD1071" s="26"/>
      <c r="AE1071" s="26"/>
      <c r="AF1071" s="26"/>
      <c r="AG1071" s="26"/>
      <c r="AH1071" s="26"/>
      <c r="AI1071" s="26"/>
      <c r="AJ1071" s="26"/>
      <c r="AK1071" s="26"/>
      <c r="AL1071" s="26"/>
      <c r="AM1071" s="26"/>
      <c r="AN1071" s="26"/>
      <c r="AO1071" s="26"/>
      <c r="AP1071" s="26"/>
      <c r="AQ1071" s="26"/>
      <c r="AR1071" s="26"/>
      <c r="AS1071" s="26"/>
      <c r="AT1071" s="26"/>
      <c r="AU1071" s="26"/>
      <c r="AV1071" s="26"/>
      <c r="AW1071" s="26"/>
      <c r="AX1071" s="26"/>
      <c r="AY1071" s="26"/>
    </row>
    <row r="1072" spans="2:51" x14ac:dyDescent="0.25">
      <c r="B1072" s="32" t="s">
        <v>140</v>
      </c>
      <c r="C1072"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072" s="12"/>
      <c r="J1072" s="16"/>
      <c r="S1072" s="26"/>
      <c r="T1072" s="26"/>
      <c r="U1072" s="26"/>
      <c r="V1072" s="26"/>
      <c r="W1072" s="26"/>
      <c r="X1072" s="26"/>
      <c r="Y1072" s="26"/>
      <c r="Z1072" s="26"/>
      <c r="AA1072" s="26"/>
      <c r="AB1072" s="26"/>
      <c r="AC1072" s="26"/>
      <c r="AD1072" s="26"/>
      <c r="AE1072" s="26"/>
      <c r="AF1072" s="26"/>
      <c r="AG1072" s="26"/>
      <c r="AH1072" s="26"/>
      <c r="AI1072" s="26"/>
      <c r="AJ1072" s="26"/>
      <c r="AK1072" s="26"/>
      <c r="AL1072" s="26"/>
      <c r="AM1072" s="26"/>
      <c r="AN1072" s="26"/>
      <c r="AO1072" s="26"/>
      <c r="AP1072" s="26"/>
      <c r="AQ1072" s="26"/>
      <c r="AR1072" s="26"/>
      <c r="AS1072" s="26"/>
      <c r="AT1072" s="26"/>
      <c r="AU1072" s="26"/>
      <c r="AV1072" s="26"/>
      <c r="AW1072" s="26"/>
      <c r="AX1072" s="26"/>
      <c r="AY1072" s="26"/>
    </row>
    <row r="1073" spans="2:51" x14ac:dyDescent="0.25">
      <c r="B1073" s="32" t="s">
        <v>141</v>
      </c>
      <c r="C1073"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073" s="12"/>
      <c r="J1073" s="16"/>
      <c r="S1073" s="26"/>
      <c r="T1073" s="26"/>
      <c r="U1073" s="26"/>
      <c r="V1073" s="26"/>
      <c r="W1073" s="26"/>
      <c r="X1073" s="26"/>
      <c r="Y1073" s="26"/>
      <c r="Z1073" s="26"/>
      <c r="AA1073" s="26"/>
      <c r="AB1073" s="26"/>
      <c r="AC1073" s="26"/>
      <c r="AD1073" s="26"/>
      <c r="AE1073" s="26"/>
      <c r="AF1073" s="26"/>
      <c r="AG1073" s="26"/>
      <c r="AH1073" s="26"/>
      <c r="AI1073" s="26"/>
      <c r="AJ1073" s="26"/>
      <c r="AK1073" s="26"/>
      <c r="AL1073" s="26"/>
      <c r="AM1073" s="26"/>
      <c r="AN1073" s="26"/>
      <c r="AO1073" s="26"/>
      <c r="AP1073" s="26"/>
      <c r="AQ1073" s="26"/>
      <c r="AR1073" s="26"/>
      <c r="AS1073" s="26"/>
      <c r="AT1073" s="26"/>
      <c r="AU1073" s="26"/>
      <c r="AV1073" s="26"/>
      <c r="AW1073" s="26"/>
      <c r="AX1073" s="26"/>
      <c r="AY1073" s="26"/>
    </row>
    <row r="1074" spans="2:51" x14ac:dyDescent="0.25">
      <c r="B1074" s="32" t="s">
        <v>142</v>
      </c>
      <c r="C1074" s="12" t="e">
        <f>SUM(#REF!)</f>
        <v>#REF!</v>
      </c>
      <c r="D1074" s="12"/>
      <c r="J1074" s="16"/>
      <c r="S1074" s="26"/>
      <c r="T1074" s="26"/>
      <c r="U1074" s="26"/>
      <c r="V1074" s="26"/>
      <c r="W1074" s="26"/>
      <c r="X1074" s="26"/>
      <c r="Y1074" s="26"/>
      <c r="Z1074" s="26"/>
      <c r="AA1074" s="26"/>
      <c r="AB1074" s="26"/>
      <c r="AC1074" s="26"/>
      <c r="AD1074" s="26"/>
      <c r="AE1074" s="26"/>
      <c r="AF1074" s="26"/>
      <c r="AG1074" s="26"/>
      <c r="AH1074" s="26"/>
      <c r="AI1074" s="26"/>
      <c r="AJ1074" s="26"/>
      <c r="AK1074" s="26"/>
      <c r="AL1074" s="26"/>
      <c r="AM1074" s="26"/>
      <c r="AN1074" s="26"/>
      <c r="AO1074" s="26"/>
      <c r="AP1074" s="26"/>
      <c r="AQ1074" s="26"/>
      <c r="AR1074" s="26"/>
      <c r="AS1074" s="26"/>
      <c r="AT1074" s="26"/>
      <c r="AU1074" s="26"/>
      <c r="AV1074" s="26"/>
      <c r="AW1074" s="26"/>
      <c r="AX1074" s="26"/>
      <c r="AY1074" s="26"/>
    </row>
    <row r="1075" spans="2:51" x14ac:dyDescent="0.25">
      <c r="B1075" s="32" t="s">
        <v>143</v>
      </c>
      <c r="C1075"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075" s="12"/>
      <c r="J1075" s="16"/>
      <c r="S1075" s="26"/>
      <c r="T1075" s="26"/>
      <c r="U1075" s="26"/>
      <c r="V1075" s="26"/>
      <c r="W1075" s="26"/>
      <c r="X1075" s="26"/>
      <c r="Y1075" s="26"/>
      <c r="Z1075" s="26"/>
      <c r="AA1075" s="26"/>
      <c r="AB1075" s="26"/>
      <c r="AC1075" s="26"/>
      <c r="AD1075" s="26"/>
      <c r="AE1075" s="26"/>
      <c r="AF1075" s="26"/>
      <c r="AG1075" s="26"/>
      <c r="AH1075" s="26"/>
      <c r="AI1075" s="26"/>
      <c r="AJ1075" s="26"/>
      <c r="AK1075" s="26"/>
      <c r="AL1075" s="26"/>
      <c r="AM1075" s="26"/>
      <c r="AN1075" s="26"/>
      <c r="AO1075" s="26"/>
      <c r="AP1075" s="26"/>
      <c r="AQ1075" s="26"/>
      <c r="AR1075" s="26"/>
      <c r="AS1075" s="26"/>
      <c r="AT1075" s="26"/>
      <c r="AU1075" s="26"/>
      <c r="AV1075" s="26"/>
      <c r="AW1075" s="26"/>
      <c r="AX1075" s="26"/>
      <c r="AY1075" s="26"/>
    </row>
    <row r="1076" spans="2:51" x14ac:dyDescent="0.25">
      <c r="B1076" s="32" t="s">
        <v>144</v>
      </c>
      <c r="C1076" s="12" t="e">
        <f>#REF!*#REF!/100</f>
        <v>#REF!</v>
      </c>
      <c r="D1076" s="12"/>
      <c r="J1076" s="16"/>
      <c r="S1076" s="26"/>
      <c r="T1076" s="26"/>
      <c r="U1076" s="26"/>
      <c r="V1076" s="26"/>
      <c r="W1076" s="26"/>
      <c r="X1076" s="26"/>
      <c r="Y1076" s="26"/>
      <c r="Z1076" s="26"/>
      <c r="AA1076" s="26"/>
      <c r="AB1076" s="26"/>
      <c r="AC1076" s="26"/>
      <c r="AD1076" s="26"/>
      <c r="AE1076" s="26"/>
      <c r="AF1076" s="26"/>
      <c r="AG1076" s="26"/>
      <c r="AH1076" s="26"/>
      <c r="AI1076" s="26"/>
      <c r="AJ1076" s="26"/>
      <c r="AK1076" s="26"/>
      <c r="AL1076" s="26"/>
      <c r="AM1076" s="26"/>
      <c r="AN1076" s="26"/>
      <c r="AO1076" s="26"/>
      <c r="AP1076" s="26"/>
      <c r="AQ1076" s="26"/>
      <c r="AR1076" s="26"/>
      <c r="AS1076" s="26"/>
      <c r="AT1076" s="26"/>
      <c r="AU1076" s="26"/>
      <c r="AV1076" s="26"/>
      <c r="AW1076" s="26"/>
      <c r="AX1076" s="26"/>
      <c r="AY1076" s="26"/>
    </row>
    <row r="1077" spans="2:51" x14ac:dyDescent="0.25">
      <c r="B1077" s="32" t="s">
        <v>200</v>
      </c>
      <c r="C1077" s="12" t="e">
        <f>#REF!</f>
        <v>#REF!</v>
      </c>
      <c r="D1077" s="12"/>
      <c r="J1077" s="16"/>
      <c r="S1077" s="26"/>
      <c r="T1077" s="26"/>
      <c r="U1077" s="26"/>
      <c r="V1077" s="26"/>
      <c r="W1077" s="26"/>
      <c r="X1077" s="26"/>
      <c r="Y1077" s="26"/>
      <c r="Z1077" s="26"/>
      <c r="AA1077" s="26"/>
      <c r="AB1077" s="26"/>
      <c r="AC1077" s="26"/>
      <c r="AD1077" s="26"/>
      <c r="AE1077" s="26"/>
      <c r="AF1077" s="26"/>
      <c r="AG1077" s="26"/>
      <c r="AH1077" s="26"/>
      <c r="AI1077" s="26"/>
      <c r="AJ1077" s="26"/>
      <c r="AK1077" s="26"/>
      <c r="AL1077" s="26"/>
      <c r="AM1077" s="26"/>
      <c r="AN1077" s="26"/>
      <c r="AO1077" s="26"/>
      <c r="AP1077" s="26"/>
      <c r="AQ1077" s="26"/>
      <c r="AR1077" s="26"/>
      <c r="AS1077" s="26"/>
      <c r="AT1077" s="26"/>
      <c r="AU1077" s="26"/>
      <c r="AV1077" s="26"/>
      <c r="AW1077" s="26"/>
      <c r="AX1077" s="26"/>
      <c r="AY1077" s="26"/>
    </row>
    <row r="1078" spans="2:51" x14ac:dyDescent="0.25">
      <c r="B1078" s="32" t="s">
        <v>34</v>
      </c>
      <c r="C1078" s="12" t="e">
        <f>#REF!</f>
        <v>#REF!</v>
      </c>
      <c r="D1078" s="12"/>
      <c r="J1078" s="16"/>
      <c r="S1078" s="26"/>
      <c r="T1078" s="26"/>
      <c r="U1078" s="26"/>
      <c r="V1078" s="26"/>
      <c r="W1078" s="26"/>
      <c r="X1078" s="26"/>
      <c r="Y1078" s="26"/>
      <c r="Z1078" s="26"/>
      <c r="AA1078" s="26"/>
      <c r="AB1078" s="26"/>
      <c r="AC1078" s="26"/>
      <c r="AD1078" s="26"/>
      <c r="AE1078" s="26"/>
      <c r="AF1078" s="26"/>
      <c r="AG1078" s="26"/>
      <c r="AH1078" s="26"/>
      <c r="AI1078" s="26"/>
      <c r="AJ1078" s="26"/>
      <c r="AK1078" s="26"/>
      <c r="AL1078" s="26"/>
      <c r="AM1078" s="26"/>
      <c r="AN1078" s="26"/>
      <c r="AO1078" s="26"/>
      <c r="AP1078" s="26"/>
      <c r="AQ1078" s="26"/>
      <c r="AR1078" s="26"/>
      <c r="AS1078" s="26"/>
      <c r="AT1078" s="26"/>
      <c r="AU1078" s="26"/>
      <c r="AV1078" s="26"/>
      <c r="AW1078" s="26"/>
      <c r="AX1078" s="26"/>
      <c r="AY1078" s="26"/>
    </row>
    <row r="1079" spans="2:51" x14ac:dyDescent="0.25">
      <c r="B1079" s="55" t="s">
        <v>147</v>
      </c>
      <c r="C1079" s="56" t="e">
        <f>SUM(C1063:C1078)</f>
        <v>#REF!</v>
      </c>
      <c r="D1079" s="56" t="e">
        <f>SUM(D1063:D1078)</f>
        <v>#REF!</v>
      </c>
      <c r="J1079" s="16"/>
      <c r="S1079" s="26"/>
      <c r="T1079" s="26"/>
      <c r="U1079" s="26"/>
      <c r="V1079" s="26"/>
      <c r="W1079" s="26"/>
      <c r="X1079" s="26"/>
      <c r="Y1079" s="26"/>
      <c r="Z1079" s="26"/>
      <c r="AA1079" s="26"/>
      <c r="AB1079" s="26"/>
      <c r="AC1079" s="26"/>
      <c r="AD1079" s="26"/>
      <c r="AE1079" s="26"/>
      <c r="AF1079" s="26"/>
      <c r="AG1079" s="26"/>
      <c r="AH1079" s="26"/>
      <c r="AI1079" s="26"/>
      <c r="AJ1079" s="26"/>
      <c r="AK1079" s="26"/>
      <c r="AL1079" s="26"/>
      <c r="AM1079" s="26"/>
      <c r="AN1079" s="26"/>
      <c r="AO1079" s="26"/>
      <c r="AP1079" s="26"/>
      <c r="AQ1079" s="26"/>
      <c r="AR1079" s="26"/>
      <c r="AS1079" s="26"/>
      <c r="AT1079" s="26"/>
      <c r="AU1079" s="26"/>
      <c r="AV1079" s="26"/>
      <c r="AW1079" s="26"/>
      <c r="AX1079" s="26"/>
      <c r="AY1079" s="26"/>
    </row>
    <row r="1080" spans="2:51" x14ac:dyDescent="0.25">
      <c r="B1080" s="31"/>
      <c r="J1080" s="16"/>
      <c r="S1080" s="26"/>
      <c r="T1080" s="26"/>
      <c r="U1080" s="26"/>
      <c r="V1080" s="26"/>
      <c r="W1080" s="26"/>
      <c r="X1080" s="26"/>
      <c r="Y1080" s="26"/>
      <c r="Z1080" s="26"/>
      <c r="AA1080" s="26"/>
      <c r="AB1080" s="26"/>
      <c r="AC1080" s="26"/>
      <c r="AD1080" s="26"/>
      <c r="AE1080" s="26"/>
      <c r="AF1080" s="26"/>
      <c r="AG1080" s="26"/>
      <c r="AH1080" s="26"/>
      <c r="AI1080" s="26"/>
      <c r="AJ1080" s="26"/>
      <c r="AK1080" s="26"/>
      <c r="AL1080" s="26"/>
      <c r="AM1080" s="26"/>
      <c r="AN1080" s="26"/>
      <c r="AO1080" s="26"/>
      <c r="AP1080" s="26"/>
      <c r="AQ1080" s="26"/>
      <c r="AR1080" s="26"/>
      <c r="AS1080" s="26"/>
      <c r="AT1080" s="26"/>
      <c r="AU1080" s="26"/>
      <c r="AV1080" s="26"/>
      <c r="AW1080" s="26"/>
      <c r="AX1080" s="26"/>
      <c r="AY1080" s="26"/>
    </row>
    <row r="1081" spans="2:51" x14ac:dyDescent="0.25">
      <c r="B1081" s="31"/>
      <c r="C1081" s="50"/>
      <c r="D1081" s="50"/>
      <c r="J1081" s="16"/>
      <c r="S1081" s="26"/>
      <c r="T1081" s="26"/>
      <c r="U1081" s="26"/>
      <c r="V1081" s="26"/>
      <c r="W1081" s="26"/>
      <c r="X1081" s="26"/>
      <c r="Y1081" s="26"/>
      <c r="Z1081" s="26"/>
      <c r="AA1081" s="26"/>
      <c r="AB1081" s="26"/>
      <c r="AC1081" s="26"/>
      <c r="AD1081" s="26"/>
      <c r="AE1081" s="26"/>
      <c r="AF1081" s="26"/>
      <c r="AG1081" s="26"/>
      <c r="AH1081" s="26"/>
      <c r="AI1081" s="26"/>
      <c r="AJ1081" s="26"/>
      <c r="AK1081" s="26"/>
      <c r="AL1081" s="26"/>
      <c r="AM1081" s="26"/>
      <c r="AN1081" s="26"/>
      <c r="AO1081" s="26"/>
      <c r="AP1081" s="26"/>
      <c r="AQ1081" s="26"/>
      <c r="AR1081" s="26"/>
      <c r="AS1081" s="26"/>
      <c r="AT1081" s="26"/>
      <c r="AU1081" s="26"/>
      <c r="AV1081" s="26"/>
      <c r="AW1081" s="26"/>
      <c r="AX1081" s="26"/>
      <c r="AY1081" s="26"/>
    </row>
    <row r="1082" spans="2:51" x14ac:dyDescent="0.25">
      <c r="B1082" s="59" t="s">
        <v>226</v>
      </c>
      <c r="C1082" s="50"/>
      <c r="D1082" s="50"/>
      <c r="J1082" s="16"/>
      <c r="S1082" s="26"/>
      <c r="T1082" s="26"/>
      <c r="U1082" s="26"/>
      <c r="V1082" s="26"/>
      <c r="W1082" s="26"/>
      <c r="X1082" s="26"/>
      <c r="Y1082" s="26"/>
      <c r="Z1082" s="26"/>
      <c r="AA1082" s="26"/>
      <c r="AB1082" s="26"/>
      <c r="AC1082" s="26"/>
      <c r="AD1082" s="26"/>
      <c r="AE1082" s="26"/>
      <c r="AF1082" s="26"/>
      <c r="AG1082" s="26"/>
      <c r="AH1082" s="26"/>
      <c r="AI1082" s="26"/>
      <c r="AJ1082" s="26"/>
      <c r="AK1082" s="26"/>
      <c r="AL1082" s="26"/>
      <c r="AM1082" s="26"/>
      <c r="AN1082" s="26"/>
      <c r="AO1082" s="26"/>
      <c r="AP1082" s="26"/>
      <c r="AQ1082" s="26"/>
      <c r="AR1082" s="26"/>
      <c r="AS1082" s="26"/>
      <c r="AT1082" s="26"/>
      <c r="AU1082" s="26"/>
      <c r="AV1082" s="26"/>
      <c r="AW1082" s="26"/>
      <c r="AX1082" s="26"/>
      <c r="AY1082" s="26"/>
    </row>
    <row r="1083" spans="2:51" x14ac:dyDescent="0.25">
      <c r="B1083" s="31"/>
      <c r="C1083" s="50"/>
      <c r="D1083" s="50"/>
      <c r="J1083" s="16"/>
      <c r="S1083" s="26"/>
      <c r="T1083" s="26"/>
      <c r="U1083" s="26"/>
      <c r="V1083" s="26"/>
      <c r="W1083" s="26"/>
      <c r="X1083" s="26"/>
      <c r="Y1083" s="26"/>
      <c r="Z1083" s="26"/>
      <c r="AA1083" s="26"/>
      <c r="AB1083" s="26"/>
      <c r="AC1083" s="26"/>
      <c r="AD1083" s="26"/>
      <c r="AE1083" s="26"/>
      <c r="AF1083" s="26"/>
      <c r="AG1083" s="26"/>
      <c r="AH1083" s="26"/>
      <c r="AI1083" s="26"/>
      <c r="AJ1083" s="26"/>
      <c r="AK1083" s="26"/>
      <c r="AL1083" s="26"/>
      <c r="AM1083" s="26"/>
      <c r="AN1083" s="26"/>
      <c r="AO1083" s="26"/>
      <c r="AP1083" s="26"/>
      <c r="AQ1083" s="26"/>
      <c r="AR1083" s="26"/>
      <c r="AS1083" s="26"/>
      <c r="AT1083" s="26"/>
      <c r="AU1083" s="26"/>
      <c r="AV1083" s="26"/>
      <c r="AW1083" s="26"/>
      <c r="AX1083" s="26"/>
      <c r="AY1083" s="26"/>
    </row>
    <row r="1084" spans="2:51" x14ac:dyDescent="0.25">
      <c r="B1084" s="31"/>
      <c r="C1084" s="50"/>
      <c r="D1084" s="50"/>
      <c r="J1084" s="16"/>
      <c r="S1084" s="26"/>
      <c r="T1084" s="26"/>
      <c r="U1084" s="26"/>
      <c r="V1084" s="26"/>
      <c r="W1084" s="26"/>
      <c r="X1084" s="26"/>
      <c r="Y1084" s="26"/>
      <c r="Z1084" s="26"/>
      <c r="AA1084" s="26"/>
      <c r="AB1084" s="26"/>
      <c r="AC1084" s="26"/>
      <c r="AD1084" s="26"/>
      <c r="AE1084" s="26"/>
      <c r="AF1084" s="26"/>
      <c r="AG1084" s="26"/>
      <c r="AH1084" s="26"/>
      <c r="AI1084" s="26"/>
      <c r="AJ1084" s="26"/>
      <c r="AK1084" s="26"/>
      <c r="AL1084" s="26"/>
      <c r="AM1084" s="26"/>
      <c r="AN1084" s="26"/>
      <c r="AO1084" s="26"/>
      <c r="AP1084" s="26"/>
      <c r="AQ1084" s="26"/>
      <c r="AR1084" s="26"/>
      <c r="AS1084" s="26"/>
      <c r="AT1084" s="26"/>
      <c r="AU1084" s="26"/>
      <c r="AV1084" s="26"/>
      <c r="AW1084" s="26"/>
      <c r="AX1084" s="26"/>
      <c r="AY1084" s="26"/>
    </row>
    <row r="1085" spans="2:51" x14ac:dyDescent="0.25">
      <c r="B1085" s="31"/>
      <c r="C1085" s="50"/>
      <c r="D1085" s="50"/>
      <c r="J1085" s="16"/>
      <c r="S1085" s="26"/>
      <c r="T1085" s="26"/>
      <c r="U1085" s="26"/>
      <c r="V1085" s="26"/>
      <c r="W1085" s="26"/>
      <c r="X1085" s="26"/>
      <c r="Y1085" s="26"/>
      <c r="Z1085" s="26"/>
      <c r="AA1085" s="26"/>
      <c r="AB1085" s="26"/>
      <c r="AC1085" s="26"/>
      <c r="AD1085" s="26"/>
      <c r="AE1085" s="26"/>
      <c r="AF1085" s="26"/>
      <c r="AG1085" s="26"/>
      <c r="AH1085" s="26"/>
      <c r="AI1085" s="26"/>
      <c r="AJ1085" s="26"/>
      <c r="AK1085" s="26"/>
      <c r="AL1085" s="26"/>
      <c r="AM1085" s="26"/>
      <c r="AN1085" s="26"/>
      <c r="AO1085" s="26"/>
      <c r="AP1085" s="26"/>
      <c r="AQ1085" s="26"/>
      <c r="AR1085" s="26"/>
      <c r="AS1085" s="26"/>
      <c r="AT1085" s="26"/>
      <c r="AU1085" s="26"/>
      <c r="AV1085" s="26"/>
      <c r="AW1085" s="26"/>
      <c r="AX1085" s="26"/>
      <c r="AY1085" s="26"/>
    </row>
    <row r="1086" spans="2:51" x14ac:dyDescent="0.25">
      <c r="B1086" s="31"/>
      <c r="C1086" s="50"/>
      <c r="D1086" s="50"/>
      <c r="J1086" s="16"/>
      <c r="S1086" s="26"/>
      <c r="T1086" s="26"/>
      <c r="U1086" s="26"/>
      <c r="V1086" s="26"/>
      <c r="W1086" s="26"/>
      <c r="X1086" s="26"/>
      <c r="Y1086" s="26"/>
      <c r="Z1086" s="26"/>
      <c r="AA1086" s="26"/>
      <c r="AB1086" s="26"/>
      <c r="AC1086" s="26"/>
      <c r="AD1086" s="26"/>
      <c r="AE1086" s="26"/>
      <c r="AF1086" s="26"/>
      <c r="AG1086" s="26"/>
      <c r="AH1086" s="26"/>
      <c r="AI1086" s="26"/>
      <c r="AJ1086" s="26"/>
      <c r="AK1086" s="26"/>
      <c r="AL1086" s="26"/>
      <c r="AM1086" s="26"/>
      <c r="AN1086" s="26"/>
      <c r="AO1086" s="26"/>
      <c r="AP1086" s="26"/>
      <c r="AQ1086" s="26"/>
      <c r="AR1086" s="26"/>
      <c r="AS1086" s="26"/>
      <c r="AT1086" s="26"/>
      <c r="AU1086" s="26"/>
      <c r="AV1086" s="26"/>
      <c r="AW1086" s="26"/>
      <c r="AX1086" s="26"/>
      <c r="AY1086" s="26"/>
    </row>
    <row r="1087" spans="2:51" x14ac:dyDescent="0.25">
      <c r="B1087" s="31"/>
      <c r="C1087" s="50"/>
      <c r="D1087" s="50"/>
      <c r="J1087" s="16"/>
      <c r="S1087" s="26"/>
      <c r="T1087" s="26"/>
      <c r="U1087" s="26"/>
      <c r="V1087" s="26"/>
      <c r="W1087" s="26"/>
      <c r="X1087" s="26"/>
      <c r="Y1087" s="26"/>
      <c r="Z1087" s="26"/>
      <c r="AA1087" s="26"/>
      <c r="AB1087" s="26"/>
      <c r="AC1087" s="26"/>
      <c r="AD1087" s="26"/>
      <c r="AE1087" s="26"/>
      <c r="AF1087" s="26"/>
      <c r="AG1087" s="26"/>
      <c r="AH1087" s="26"/>
      <c r="AI1087" s="26"/>
      <c r="AJ1087" s="26"/>
      <c r="AK1087" s="26"/>
      <c r="AL1087" s="26"/>
      <c r="AM1087" s="26"/>
      <c r="AN1087" s="26"/>
      <c r="AO1087" s="26"/>
      <c r="AP1087" s="26"/>
      <c r="AQ1087" s="26"/>
      <c r="AR1087" s="26"/>
      <c r="AS1087" s="26"/>
      <c r="AT1087" s="26"/>
      <c r="AU1087" s="26"/>
      <c r="AV1087" s="26"/>
      <c r="AW1087" s="26"/>
      <c r="AX1087" s="26"/>
      <c r="AY1087" s="26"/>
    </row>
    <row r="1088" spans="2:51" x14ac:dyDescent="0.25">
      <c r="B1088" s="31"/>
      <c r="C1088" s="50"/>
      <c r="D1088" s="50"/>
      <c r="J1088" s="16"/>
      <c r="S1088" s="26"/>
      <c r="T1088" s="26"/>
      <c r="U1088" s="26"/>
      <c r="V1088" s="26"/>
      <c r="W1088" s="26"/>
      <c r="X1088" s="26"/>
      <c r="Y1088" s="26"/>
      <c r="Z1088" s="26"/>
      <c r="AA1088" s="26"/>
      <c r="AB1088" s="26"/>
      <c r="AC1088" s="26"/>
      <c r="AD1088" s="26"/>
      <c r="AE1088" s="26"/>
      <c r="AF1088" s="26"/>
      <c r="AG1088" s="26"/>
      <c r="AH1088" s="26"/>
      <c r="AI1088" s="26"/>
      <c r="AJ1088" s="26"/>
      <c r="AK1088" s="26"/>
      <c r="AL1088" s="26"/>
      <c r="AM1088" s="26"/>
      <c r="AN1088" s="26"/>
      <c r="AO1088" s="26"/>
      <c r="AP1088" s="26"/>
      <c r="AQ1088" s="26"/>
      <c r="AR1088" s="26"/>
      <c r="AS1088" s="26"/>
      <c r="AT1088" s="26"/>
      <c r="AU1088" s="26"/>
      <c r="AV1088" s="26"/>
      <c r="AW1088" s="26"/>
      <c r="AX1088" s="26"/>
      <c r="AY1088" s="26"/>
    </row>
    <row r="1089" spans="2:51" x14ac:dyDescent="0.25">
      <c r="B1089" s="31"/>
      <c r="C1089" s="50"/>
      <c r="D1089" s="50"/>
      <c r="J1089" s="16"/>
      <c r="S1089" s="26"/>
      <c r="T1089" s="26"/>
      <c r="U1089" s="26"/>
      <c r="V1089" s="26"/>
      <c r="W1089" s="26"/>
      <c r="X1089" s="26"/>
      <c r="Y1089" s="26"/>
      <c r="Z1089" s="26"/>
      <c r="AA1089" s="26"/>
      <c r="AB1089" s="26"/>
      <c r="AC1089" s="26"/>
      <c r="AD1089" s="26"/>
      <c r="AE1089" s="26"/>
      <c r="AF1089" s="26"/>
      <c r="AG1089" s="26"/>
      <c r="AH1089" s="26"/>
      <c r="AI1089" s="26"/>
      <c r="AJ1089" s="26"/>
      <c r="AK1089" s="26"/>
      <c r="AL1089" s="26"/>
      <c r="AM1089" s="26"/>
      <c r="AN1089" s="26"/>
      <c r="AO1089" s="26"/>
      <c r="AP1089" s="26"/>
      <c r="AQ1089" s="26"/>
      <c r="AR1089" s="26"/>
      <c r="AS1089" s="26"/>
      <c r="AT1089" s="26"/>
      <c r="AU1089" s="26"/>
      <c r="AV1089" s="26"/>
      <c r="AW1089" s="26"/>
      <c r="AX1089" s="26"/>
      <c r="AY1089" s="26"/>
    </row>
    <row r="1090" spans="2:51" x14ac:dyDescent="0.25">
      <c r="B1090" s="31"/>
      <c r="C1090" s="50"/>
      <c r="D1090" s="50"/>
      <c r="J1090" s="16"/>
      <c r="S1090" s="26"/>
      <c r="T1090" s="26"/>
      <c r="U1090" s="26"/>
      <c r="V1090" s="26"/>
      <c r="W1090" s="26"/>
      <c r="X1090" s="26"/>
      <c r="Y1090" s="26"/>
      <c r="Z1090" s="26"/>
      <c r="AA1090" s="26"/>
      <c r="AB1090" s="26"/>
      <c r="AC1090" s="26"/>
      <c r="AD1090" s="26"/>
      <c r="AE1090" s="26"/>
      <c r="AF1090" s="26"/>
      <c r="AG1090" s="26"/>
      <c r="AH1090" s="26"/>
      <c r="AI1090" s="26"/>
      <c r="AJ1090" s="26"/>
      <c r="AK1090" s="26"/>
      <c r="AL1090" s="26"/>
      <c r="AM1090" s="26"/>
      <c r="AN1090" s="26"/>
      <c r="AO1090" s="26"/>
      <c r="AP1090" s="26"/>
      <c r="AQ1090" s="26"/>
      <c r="AR1090" s="26"/>
      <c r="AS1090" s="26"/>
      <c r="AT1090" s="26"/>
      <c r="AU1090" s="26"/>
      <c r="AV1090" s="26"/>
      <c r="AW1090" s="26"/>
      <c r="AX1090" s="26"/>
      <c r="AY1090" s="26"/>
    </row>
    <row r="1091" spans="2:51" x14ac:dyDescent="0.25">
      <c r="B1091" s="31"/>
      <c r="C1091" s="50"/>
      <c r="D1091" s="50"/>
      <c r="J1091" s="16"/>
      <c r="S1091" s="26"/>
      <c r="T1091" s="26"/>
      <c r="U1091" s="26"/>
      <c r="V1091" s="26"/>
      <c r="W1091" s="26"/>
      <c r="X1091" s="26"/>
      <c r="Y1091" s="26"/>
      <c r="Z1091" s="26"/>
      <c r="AA1091" s="26"/>
      <c r="AB1091" s="26"/>
      <c r="AC1091" s="26"/>
      <c r="AD1091" s="26"/>
      <c r="AE1091" s="26"/>
      <c r="AF1091" s="26"/>
      <c r="AG1091" s="26"/>
      <c r="AH1091" s="26"/>
      <c r="AI1091" s="26"/>
      <c r="AJ1091" s="26"/>
      <c r="AK1091" s="26"/>
      <c r="AL1091" s="26"/>
      <c r="AM1091" s="26"/>
      <c r="AN1091" s="26"/>
      <c r="AO1091" s="26"/>
      <c r="AP1091" s="26"/>
      <c r="AQ1091" s="26"/>
      <c r="AR1091" s="26"/>
      <c r="AS1091" s="26"/>
      <c r="AT1091" s="26"/>
      <c r="AU1091" s="26"/>
      <c r="AV1091" s="26"/>
      <c r="AW1091" s="26"/>
      <c r="AX1091" s="26"/>
      <c r="AY1091" s="26"/>
    </row>
    <row r="1092" spans="2:51" x14ac:dyDescent="0.25">
      <c r="B1092" s="31"/>
      <c r="C1092" s="50"/>
      <c r="D1092" s="50"/>
      <c r="J1092" s="16"/>
      <c r="S1092" s="26"/>
      <c r="T1092" s="26"/>
      <c r="U1092" s="26"/>
      <c r="V1092" s="26"/>
      <c r="W1092" s="26"/>
      <c r="X1092" s="26"/>
      <c r="Y1092" s="26"/>
      <c r="Z1092" s="26"/>
      <c r="AA1092" s="26"/>
      <c r="AB1092" s="26"/>
      <c r="AC1092" s="26"/>
      <c r="AD1092" s="26"/>
      <c r="AE1092" s="26"/>
      <c r="AF1092" s="26"/>
      <c r="AG1092" s="26"/>
      <c r="AH1092" s="26"/>
      <c r="AI1092" s="26"/>
      <c r="AJ1092" s="26"/>
      <c r="AK1092" s="26"/>
      <c r="AL1092" s="26"/>
      <c r="AM1092" s="26"/>
      <c r="AN1092" s="26"/>
      <c r="AO1092" s="26"/>
      <c r="AP1092" s="26"/>
      <c r="AQ1092" s="26"/>
      <c r="AR1092" s="26"/>
      <c r="AS1092" s="26"/>
      <c r="AT1092" s="26"/>
      <c r="AU1092" s="26"/>
      <c r="AV1092" s="26"/>
      <c r="AW1092" s="26"/>
      <c r="AX1092" s="26"/>
      <c r="AY1092" s="26"/>
    </row>
    <row r="1093" spans="2:51" x14ac:dyDescent="0.25">
      <c r="B1093" s="31"/>
      <c r="C1093" s="50"/>
      <c r="D1093" s="50"/>
      <c r="J1093" s="16"/>
      <c r="S1093" s="26"/>
      <c r="T1093" s="26"/>
      <c r="U1093" s="26"/>
      <c r="V1093" s="26"/>
      <c r="W1093" s="26"/>
      <c r="X1093" s="26"/>
      <c r="Y1093" s="26"/>
      <c r="Z1093" s="26"/>
      <c r="AA1093" s="26"/>
      <c r="AB1093" s="26"/>
      <c r="AC1093" s="26"/>
      <c r="AD1093" s="26"/>
      <c r="AE1093" s="26"/>
      <c r="AF1093" s="26"/>
      <c r="AG1093" s="26"/>
      <c r="AH1093" s="26"/>
      <c r="AI1093" s="26"/>
      <c r="AJ1093" s="26"/>
      <c r="AK1093" s="26"/>
      <c r="AL1093" s="26"/>
      <c r="AM1093" s="26"/>
      <c r="AN1093" s="26"/>
      <c r="AO1093" s="26"/>
      <c r="AP1093" s="26"/>
      <c r="AQ1093" s="26"/>
      <c r="AR1093" s="26"/>
      <c r="AS1093" s="26"/>
      <c r="AT1093" s="26"/>
      <c r="AU1093" s="26"/>
      <c r="AV1093" s="26"/>
      <c r="AW1093" s="26"/>
      <c r="AX1093" s="26"/>
      <c r="AY1093" s="26"/>
    </row>
    <row r="1094" spans="2:51" x14ac:dyDescent="0.25">
      <c r="B1094" s="31"/>
      <c r="C1094" s="50"/>
      <c r="D1094" s="50"/>
      <c r="J1094" s="16"/>
      <c r="S1094" s="26"/>
      <c r="T1094" s="26"/>
      <c r="U1094" s="26"/>
      <c r="V1094" s="26"/>
      <c r="W1094" s="26"/>
      <c r="X1094" s="26"/>
      <c r="Y1094" s="26"/>
      <c r="Z1094" s="26"/>
      <c r="AA1094" s="26"/>
      <c r="AB1094" s="26"/>
      <c r="AC1094" s="26"/>
      <c r="AD1094" s="26"/>
      <c r="AE1094" s="26"/>
      <c r="AF1094" s="26"/>
      <c r="AG1094" s="26"/>
      <c r="AH1094" s="26"/>
      <c r="AI1094" s="26"/>
      <c r="AJ1094" s="26"/>
      <c r="AK1094" s="26"/>
      <c r="AL1094" s="26"/>
      <c r="AM1094" s="26"/>
      <c r="AN1094" s="26"/>
      <c r="AO1094" s="26"/>
      <c r="AP1094" s="26"/>
      <c r="AQ1094" s="26"/>
      <c r="AR1094" s="26"/>
      <c r="AS1094" s="26"/>
      <c r="AT1094" s="26"/>
      <c r="AU1094" s="26"/>
      <c r="AV1094" s="26"/>
      <c r="AW1094" s="26"/>
      <c r="AX1094" s="26"/>
      <c r="AY1094" s="26"/>
    </row>
    <row r="1095" spans="2:51" x14ac:dyDescent="0.25">
      <c r="B1095" s="31"/>
      <c r="C1095" s="50"/>
      <c r="D1095" s="50"/>
      <c r="J1095" s="16"/>
      <c r="S1095" s="26"/>
      <c r="T1095" s="26"/>
      <c r="U1095" s="26"/>
      <c r="V1095" s="26"/>
      <c r="W1095" s="26"/>
      <c r="X1095" s="26"/>
      <c r="Y1095" s="26"/>
      <c r="Z1095" s="26"/>
      <c r="AA1095" s="26"/>
      <c r="AB1095" s="26"/>
      <c r="AC1095" s="26"/>
      <c r="AD1095" s="26"/>
      <c r="AE1095" s="26"/>
      <c r="AF1095" s="26"/>
      <c r="AG1095" s="26"/>
      <c r="AH1095" s="26"/>
      <c r="AI1095" s="26"/>
      <c r="AJ1095" s="26"/>
      <c r="AK1095" s="26"/>
      <c r="AL1095" s="26"/>
      <c r="AM1095" s="26"/>
      <c r="AN1095" s="26"/>
      <c r="AO1095" s="26"/>
      <c r="AP1095" s="26"/>
      <c r="AQ1095" s="26"/>
      <c r="AR1095" s="26"/>
      <c r="AS1095" s="26"/>
      <c r="AT1095" s="26"/>
      <c r="AU1095" s="26"/>
      <c r="AV1095" s="26"/>
      <c r="AW1095" s="26"/>
      <c r="AX1095" s="26"/>
      <c r="AY1095" s="26"/>
    </row>
    <row r="1096" spans="2:51" x14ac:dyDescent="0.25">
      <c r="B1096" s="31"/>
      <c r="C1096" s="50"/>
      <c r="D1096" s="50"/>
      <c r="J1096" s="16"/>
      <c r="S1096" s="26"/>
      <c r="T1096" s="26"/>
      <c r="U1096" s="26"/>
      <c r="V1096" s="26"/>
      <c r="W1096" s="26"/>
      <c r="X1096" s="26"/>
      <c r="Y1096" s="26"/>
      <c r="Z1096" s="26"/>
      <c r="AA1096" s="26"/>
      <c r="AB1096" s="26"/>
      <c r="AC1096" s="26"/>
      <c r="AD1096" s="26"/>
      <c r="AE1096" s="26"/>
      <c r="AF1096" s="26"/>
      <c r="AG1096" s="26"/>
      <c r="AH1096" s="26"/>
      <c r="AI1096" s="26"/>
      <c r="AJ1096" s="26"/>
      <c r="AK1096" s="26"/>
      <c r="AL1096" s="26"/>
      <c r="AM1096" s="26"/>
      <c r="AN1096" s="26"/>
      <c r="AO1096" s="26"/>
      <c r="AP1096" s="26"/>
      <c r="AQ1096" s="26"/>
      <c r="AR1096" s="26"/>
      <c r="AS1096" s="26"/>
      <c r="AT1096" s="26"/>
      <c r="AU1096" s="26"/>
      <c r="AV1096" s="26"/>
      <c r="AW1096" s="26"/>
      <c r="AX1096" s="26"/>
      <c r="AY1096" s="26"/>
    </row>
    <row r="1097" spans="2:51" x14ac:dyDescent="0.25">
      <c r="B1097" s="31"/>
      <c r="C1097" s="50"/>
      <c r="D1097" s="50"/>
      <c r="J1097" s="16"/>
      <c r="S1097" s="26"/>
      <c r="T1097" s="26"/>
      <c r="U1097" s="26"/>
      <c r="V1097" s="26"/>
      <c r="W1097" s="26"/>
      <c r="X1097" s="26"/>
      <c r="Y1097" s="26"/>
      <c r="Z1097" s="26"/>
      <c r="AA1097" s="26"/>
      <c r="AB1097" s="26"/>
      <c r="AC1097" s="26"/>
      <c r="AD1097" s="26"/>
      <c r="AE1097" s="26"/>
      <c r="AF1097" s="26"/>
      <c r="AG1097" s="26"/>
      <c r="AH1097" s="26"/>
      <c r="AI1097" s="26"/>
      <c r="AJ1097" s="26"/>
      <c r="AK1097" s="26"/>
      <c r="AL1097" s="26"/>
      <c r="AM1097" s="26"/>
      <c r="AN1097" s="26"/>
      <c r="AO1097" s="26"/>
      <c r="AP1097" s="26"/>
      <c r="AQ1097" s="26"/>
      <c r="AR1097" s="26"/>
      <c r="AS1097" s="26"/>
      <c r="AT1097" s="26"/>
      <c r="AU1097" s="26"/>
      <c r="AV1097" s="26"/>
      <c r="AW1097" s="26"/>
      <c r="AX1097" s="26"/>
      <c r="AY1097" s="26"/>
    </row>
    <row r="1098" spans="2:51" x14ac:dyDescent="0.25">
      <c r="B1098" s="31"/>
      <c r="C1098" s="50"/>
      <c r="D1098" s="50"/>
      <c r="J1098" s="16"/>
      <c r="S1098" s="26"/>
      <c r="T1098" s="26"/>
      <c r="U1098" s="26"/>
      <c r="V1098" s="26"/>
      <c r="W1098" s="26"/>
      <c r="X1098" s="26"/>
      <c r="Y1098" s="26"/>
      <c r="Z1098" s="26"/>
      <c r="AA1098" s="26"/>
      <c r="AB1098" s="26"/>
      <c r="AC1098" s="26"/>
      <c r="AD1098" s="26"/>
      <c r="AE1098" s="26"/>
      <c r="AF1098" s="26"/>
      <c r="AG1098" s="26"/>
      <c r="AH1098" s="26"/>
      <c r="AI1098" s="26"/>
      <c r="AJ1098" s="26"/>
      <c r="AK1098" s="26"/>
      <c r="AL1098" s="26"/>
      <c r="AM1098" s="26"/>
      <c r="AN1098" s="26"/>
      <c r="AO1098" s="26"/>
      <c r="AP1098" s="26"/>
      <c r="AQ1098" s="26"/>
      <c r="AR1098" s="26"/>
      <c r="AS1098" s="26"/>
      <c r="AT1098" s="26"/>
      <c r="AU1098" s="26"/>
      <c r="AV1098" s="26"/>
      <c r="AW1098" s="26"/>
      <c r="AX1098" s="26"/>
      <c r="AY1098" s="26"/>
    </row>
    <row r="1099" spans="2:51" x14ac:dyDescent="0.25">
      <c r="B1099" s="31"/>
      <c r="C1099" s="50"/>
      <c r="D1099" s="50"/>
      <c r="J1099" s="16"/>
      <c r="S1099" s="26"/>
      <c r="T1099" s="26"/>
      <c r="U1099" s="26"/>
      <c r="V1099" s="26"/>
      <c r="W1099" s="26"/>
      <c r="X1099" s="26"/>
      <c r="Y1099" s="26"/>
      <c r="Z1099" s="26"/>
      <c r="AA1099" s="26"/>
      <c r="AB1099" s="26"/>
      <c r="AC1099" s="26"/>
      <c r="AD1099" s="26"/>
      <c r="AE1099" s="26"/>
      <c r="AF1099" s="26"/>
      <c r="AG1099" s="26"/>
      <c r="AH1099" s="26"/>
      <c r="AI1099" s="26"/>
      <c r="AJ1099" s="26"/>
      <c r="AK1099" s="26"/>
      <c r="AL1099" s="26"/>
      <c r="AM1099" s="26"/>
      <c r="AN1099" s="26"/>
      <c r="AO1099" s="26"/>
      <c r="AP1099" s="26"/>
      <c r="AQ1099" s="26"/>
      <c r="AR1099" s="26"/>
      <c r="AS1099" s="26"/>
      <c r="AT1099" s="26"/>
      <c r="AU1099" s="26"/>
      <c r="AV1099" s="26"/>
      <c r="AW1099" s="26"/>
      <c r="AX1099" s="26"/>
      <c r="AY1099" s="26"/>
    </row>
    <row r="1100" spans="2:51" x14ac:dyDescent="0.25">
      <c r="B1100" s="31"/>
      <c r="C1100" s="50"/>
      <c r="D1100" s="50"/>
      <c r="J1100" s="16"/>
      <c r="S1100" s="26"/>
      <c r="T1100" s="26"/>
      <c r="U1100" s="26"/>
      <c r="V1100" s="26"/>
      <c r="W1100" s="26"/>
      <c r="X1100" s="26"/>
      <c r="Y1100" s="26"/>
      <c r="Z1100" s="26"/>
      <c r="AA1100" s="26"/>
      <c r="AB1100" s="26"/>
      <c r="AC1100" s="26"/>
      <c r="AD1100" s="26"/>
      <c r="AE1100" s="26"/>
      <c r="AF1100" s="26"/>
      <c r="AG1100" s="26"/>
      <c r="AH1100" s="26"/>
      <c r="AI1100" s="26"/>
      <c r="AJ1100" s="26"/>
      <c r="AK1100" s="26"/>
      <c r="AL1100" s="26"/>
      <c r="AM1100" s="26"/>
      <c r="AN1100" s="26"/>
      <c r="AO1100" s="26"/>
      <c r="AP1100" s="26"/>
      <c r="AQ1100" s="26"/>
      <c r="AR1100" s="26"/>
      <c r="AS1100" s="26"/>
      <c r="AT1100" s="26"/>
      <c r="AU1100" s="26"/>
      <c r="AV1100" s="26"/>
      <c r="AW1100" s="26"/>
      <c r="AX1100" s="26"/>
      <c r="AY1100" s="26"/>
    </row>
    <row r="1101" spans="2:51" x14ac:dyDescent="0.25">
      <c r="B1101" s="31"/>
      <c r="C1101" s="50"/>
      <c r="D1101" s="50"/>
      <c r="J1101" s="16"/>
      <c r="S1101" s="26"/>
      <c r="T1101" s="26"/>
      <c r="U1101" s="26"/>
      <c r="V1101" s="26"/>
      <c r="W1101" s="26"/>
      <c r="X1101" s="26"/>
      <c r="Y1101" s="26"/>
      <c r="Z1101" s="26"/>
      <c r="AA1101" s="26"/>
      <c r="AB1101" s="26"/>
      <c r="AC1101" s="26"/>
      <c r="AD1101" s="26"/>
      <c r="AE1101" s="26"/>
      <c r="AF1101" s="26"/>
      <c r="AG1101" s="26"/>
      <c r="AH1101" s="26"/>
      <c r="AI1101" s="26"/>
      <c r="AJ1101" s="26"/>
      <c r="AK1101" s="26"/>
      <c r="AL1101" s="26"/>
      <c r="AM1101" s="26"/>
      <c r="AN1101" s="26"/>
      <c r="AO1101" s="26"/>
      <c r="AP1101" s="26"/>
      <c r="AQ1101" s="26"/>
      <c r="AR1101" s="26"/>
      <c r="AS1101" s="26"/>
      <c r="AT1101" s="26"/>
      <c r="AU1101" s="26"/>
      <c r="AV1101" s="26"/>
      <c r="AW1101" s="26"/>
      <c r="AX1101" s="26"/>
      <c r="AY1101" s="26"/>
    </row>
    <row r="1102" spans="2:51" x14ac:dyDescent="0.25">
      <c r="B1102" s="31"/>
      <c r="C1102" s="50"/>
      <c r="D1102" s="50"/>
      <c r="J1102" s="16"/>
      <c r="S1102" s="26"/>
      <c r="T1102" s="26"/>
      <c r="U1102" s="26"/>
      <c r="V1102" s="26"/>
      <c r="W1102" s="26"/>
      <c r="X1102" s="26"/>
      <c r="Y1102" s="26"/>
      <c r="Z1102" s="26"/>
      <c r="AA1102" s="26"/>
      <c r="AB1102" s="26"/>
      <c r="AC1102" s="26"/>
      <c r="AD1102" s="26"/>
      <c r="AE1102" s="26"/>
      <c r="AF1102" s="26"/>
      <c r="AG1102" s="26"/>
      <c r="AH1102" s="26"/>
      <c r="AI1102" s="26"/>
      <c r="AJ1102" s="26"/>
      <c r="AK1102" s="26"/>
      <c r="AL1102" s="26"/>
      <c r="AM1102" s="26"/>
      <c r="AN1102" s="26"/>
      <c r="AO1102" s="26"/>
      <c r="AP1102" s="26"/>
      <c r="AQ1102" s="26"/>
      <c r="AR1102" s="26"/>
      <c r="AS1102" s="26"/>
      <c r="AT1102" s="26"/>
      <c r="AU1102" s="26"/>
      <c r="AV1102" s="26"/>
      <c r="AW1102" s="26"/>
      <c r="AX1102" s="26"/>
      <c r="AY1102" s="26"/>
    </row>
    <row r="1103" spans="2:51" x14ac:dyDescent="0.25">
      <c r="C1103" s="50"/>
      <c r="D1103" s="50"/>
      <c r="J1103" s="16"/>
      <c r="S1103" s="26"/>
      <c r="T1103" s="26"/>
      <c r="U1103" s="26"/>
      <c r="V1103" s="26"/>
      <c r="W1103" s="26"/>
      <c r="X1103" s="26"/>
      <c r="Y1103" s="26"/>
      <c r="Z1103" s="26"/>
      <c r="AA1103" s="26"/>
      <c r="AB1103" s="26"/>
      <c r="AC1103" s="26"/>
      <c r="AD1103" s="26"/>
      <c r="AE1103" s="26"/>
      <c r="AF1103" s="26"/>
      <c r="AG1103" s="26"/>
      <c r="AH1103" s="26"/>
      <c r="AI1103" s="26"/>
      <c r="AJ1103" s="26"/>
      <c r="AK1103" s="26"/>
      <c r="AL1103" s="26"/>
      <c r="AM1103" s="26"/>
      <c r="AN1103" s="26"/>
      <c r="AO1103" s="26"/>
      <c r="AP1103" s="26"/>
      <c r="AQ1103" s="26"/>
      <c r="AR1103" s="26"/>
      <c r="AS1103" s="26"/>
      <c r="AT1103" s="26"/>
      <c r="AU1103" s="26"/>
      <c r="AV1103" s="26"/>
      <c r="AW1103" s="26"/>
      <c r="AX1103" s="26"/>
      <c r="AY1103" s="26"/>
    </row>
    <row r="1104" spans="2:51" x14ac:dyDescent="0.25">
      <c r="C1104" s="50"/>
      <c r="D1104" s="50"/>
      <c r="J1104" s="16"/>
      <c r="S1104" s="26"/>
      <c r="T1104" s="26"/>
      <c r="U1104" s="26"/>
      <c r="V1104" s="26"/>
      <c r="W1104" s="26"/>
      <c r="X1104" s="26"/>
      <c r="Y1104" s="26"/>
      <c r="Z1104" s="26"/>
      <c r="AA1104" s="26"/>
      <c r="AB1104" s="26"/>
      <c r="AC1104" s="26"/>
      <c r="AD1104" s="26"/>
      <c r="AE1104" s="26"/>
      <c r="AF1104" s="26"/>
      <c r="AG1104" s="26"/>
      <c r="AH1104" s="26"/>
      <c r="AI1104" s="26"/>
      <c r="AJ1104" s="26"/>
      <c r="AK1104" s="26"/>
      <c r="AL1104" s="26"/>
      <c r="AM1104" s="26"/>
      <c r="AN1104" s="26"/>
      <c r="AO1104" s="26"/>
      <c r="AP1104" s="26"/>
      <c r="AQ1104" s="26"/>
      <c r="AR1104" s="26"/>
      <c r="AS1104" s="26"/>
      <c r="AT1104" s="26"/>
      <c r="AU1104" s="26"/>
      <c r="AV1104" s="26"/>
      <c r="AW1104" s="26"/>
      <c r="AX1104" s="26"/>
      <c r="AY1104" s="26"/>
    </row>
    <row r="1105" spans="1:51" x14ac:dyDescent="0.25">
      <c r="B1105" s="31"/>
      <c r="C1105" s="50"/>
      <c r="D1105" s="50"/>
      <c r="J1105" s="16"/>
      <c r="S1105" s="26"/>
      <c r="T1105" s="26"/>
      <c r="U1105" s="26"/>
      <c r="V1105" s="26"/>
      <c r="W1105" s="26"/>
      <c r="X1105" s="26"/>
      <c r="Y1105" s="26"/>
      <c r="Z1105" s="26"/>
      <c r="AA1105" s="26"/>
      <c r="AB1105" s="26"/>
      <c r="AC1105" s="26"/>
      <c r="AD1105" s="26"/>
      <c r="AE1105" s="26"/>
      <c r="AF1105" s="26"/>
      <c r="AG1105" s="26"/>
      <c r="AH1105" s="26"/>
      <c r="AI1105" s="26"/>
      <c r="AJ1105" s="26"/>
      <c r="AK1105" s="26"/>
      <c r="AL1105" s="26"/>
      <c r="AM1105" s="26"/>
      <c r="AN1105" s="26"/>
      <c r="AO1105" s="26"/>
      <c r="AP1105" s="26"/>
      <c r="AQ1105" s="26"/>
      <c r="AR1105" s="26"/>
      <c r="AS1105" s="26"/>
      <c r="AT1105" s="26"/>
      <c r="AU1105" s="26"/>
      <c r="AV1105" s="26"/>
      <c r="AW1105" s="26"/>
      <c r="AX1105" s="26"/>
      <c r="AY1105" s="26"/>
    </row>
    <row r="1106" spans="1:51" x14ac:dyDescent="0.25">
      <c r="C1106" s="50"/>
      <c r="D1106" s="50"/>
      <c r="J1106" s="16"/>
      <c r="S1106" s="26"/>
      <c r="T1106" s="26"/>
      <c r="U1106" s="26"/>
      <c r="V1106" s="26"/>
      <c r="W1106" s="26"/>
      <c r="X1106" s="26"/>
      <c r="Y1106" s="26"/>
      <c r="Z1106" s="26"/>
      <c r="AA1106" s="26"/>
      <c r="AB1106" s="26"/>
      <c r="AC1106" s="26"/>
      <c r="AD1106" s="26"/>
      <c r="AE1106" s="26"/>
      <c r="AF1106" s="26"/>
      <c r="AG1106" s="26"/>
      <c r="AH1106" s="26"/>
      <c r="AI1106" s="26"/>
      <c r="AJ1106" s="26"/>
      <c r="AK1106" s="26"/>
      <c r="AL1106" s="26"/>
      <c r="AM1106" s="26"/>
      <c r="AN1106" s="26"/>
      <c r="AO1106" s="26"/>
      <c r="AP1106" s="26"/>
      <c r="AQ1106" s="26"/>
      <c r="AR1106" s="26"/>
      <c r="AS1106" s="26"/>
      <c r="AT1106" s="26"/>
      <c r="AU1106" s="26"/>
      <c r="AV1106" s="26"/>
      <c r="AW1106" s="26"/>
      <c r="AX1106" s="26"/>
      <c r="AY1106" s="26"/>
    </row>
    <row r="1107" spans="1:51" x14ac:dyDescent="0.25">
      <c r="B1107" s="31"/>
      <c r="C1107" s="50"/>
      <c r="D1107" s="50"/>
      <c r="J1107" s="16"/>
      <c r="S1107" s="26"/>
      <c r="T1107" s="26"/>
      <c r="U1107" s="26"/>
      <c r="V1107" s="26"/>
      <c r="W1107" s="26"/>
      <c r="X1107" s="26"/>
      <c r="Y1107" s="26"/>
      <c r="Z1107" s="26"/>
      <c r="AA1107" s="26"/>
      <c r="AB1107" s="26"/>
      <c r="AC1107" s="26"/>
      <c r="AD1107" s="26"/>
      <c r="AE1107" s="26"/>
      <c r="AF1107" s="26"/>
      <c r="AG1107" s="26"/>
      <c r="AH1107" s="26"/>
      <c r="AI1107" s="26"/>
      <c r="AJ1107" s="26"/>
      <c r="AK1107" s="26"/>
      <c r="AL1107" s="26"/>
      <c r="AM1107" s="26"/>
      <c r="AN1107" s="26"/>
      <c r="AO1107" s="26"/>
      <c r="AP1107" s="26"/>
      <c r="AQ1107" s="26"/>
      <c r="AR1107" s="26"/>
      <c r="AS1107" s="26"/>
      <c r="AT1107" s="26"/>
      <c r="AU1107" s="26"/>
      <c r="AV1107" s="26"/>
      <c r="AW1107" s="26"/>
      <c r="AX1107" s="26"/>
      <c r="AY1107" s="26"/>
    </row>
    <row r="1108" spans="1:51" x14ac:dyDescent="0.25">
      <c r="B1108" s="31"/>
      <c r="C1108" s="50"/>
      <c r="D1108" s="50"/>
      <c r="J1108" s="16"/>
      <c r="S1108" s="26"/>
      <c r="T1108" s="26"/>
      <c r="U1108" s="26"/>
      <c r="V1108" s="26"/>
      <c r="W1108" s="26"/>
      <c r="X1108" s="26"/>
      <c r="Y1108" s="26"/>
      <c r="Z1108" s="26"/>
      <c r="AA1108" s="26"/>
      <c r="AB1108" s="26"/>
      <c r="AC1108" s="26"/>
      <c r="AD1108" s="26"/>
      <c r="AE1108" s="26"/>
      <c r="AF1108" s="26"/>
      <c r="AG1108" s="26"/>
      <c r="AH1108" s="26"/>
      <c r="AI1108" s="26"/>
      <c r="AJ1108" s="26"/>
      <c r="AK1108" s="26"/>
      <c r="AL1108" s="26"/>
      <c r="AM1108" s="26"/>
      <c r="AN1108" s="26"/>
      <c r="AO1108" s="26"/>
      <c r="AP1108" s="26"/>
      <c r="AQ1108" s="26"/>
      <c r="AR1108" s="26"/>
      <c r="AS1108" s="26"/>
      <c r="AT1108" s="26"/>
      <c r="AU1108" s="26"/>
      <c r="AV1108" s="26"/>
      <c r="AW1108" s="26"/>
      <c r="AX1108" s="26"/>
      <c r="AY1108" s="26"/>
    </row>
    <row r="1109" spans="1:51" x14ac:dyDescent="0.25">
      <c r="J1109" s="16"/>
      <c r="S1109" s="26"/>
      <c r="T1109" s="26"/>
      <c r="U1109" s="26"/>
      <c r="V1109" s="26"/>
      <c r="W1109" s="26"/>
      <c r="X1109" s="26"/>
      <c r="Y1109" s="26"/>
      <c r="Z1109" s="26"/>
      <c r="AA1109" s="26"/>
      <c r="AB1109" s="26"/>
      <c r="AC1109" s="26"/>
      <c r="AD1109" s="26"/>
      <c r="AE1109" s="26"/>
      <c r="AF1109" s="26"/>
      <c r="AG1109" s="26"/>
      <c r="AH1109" s="26"/>
      <c r="AI1109" s="26"/>
      <c r="AJ1109" s="26"/>
      <c r="AK1109" s="26"/>
      <c r="AL1109" s="26"/>
      <c r="AM1109" s="26"/>
      <c r="AN1109" s="26"/>
      <c r="AO1109" s="26"/>
      <c r="AP1109" s="26"/>
      <c r="AQ1109" s="26"/>
      <c r="AR1109" s="26"/>
      <c r="AS1109" s="26"/>
      <c r="AT1109" s="26"/>
      <c r="AU1109" s="26"/>
      <c r="AV1109" s="26"/>
      <c r="AW1109" s="26"/>
      <c r="AX1109" s="26"/>
      <c r="AY1109" s="26"/>
    </row>
    <row r="1110" spans="1:51" x14ac:dyDescent="0.25">
      <c r="J1110" s="16"/>
      <c r="S1110" s="26"/>
      <c r="T1110" s="26"/>
      <c r="U1110" s="26"/>
      <c r="V1110" s="26"/>
      <c r="W1110" s="26"/>
      <c r="X1110" s="26"/>
      <c r="Y1110" s="26"/>
      <c r="Z1110" s="26"/>
      <c r="AA1110" s="26"/>
      <c r="AB1110" s="26"/>
      <c r="AC1110" s="26"/>
      <c r="AD1110" s="26"/>
      <c r="AE1110" s="26"/>
      <c r="AF1110" s="26"/>
      <c r="AG1110" s="26"/>
      <c r="AH1110" s="26"/>
      <c r="AI1110" s="26"/>
      <c r="AJ1110" s="26"/>
      <c r="AK1110" s="26"/>
      <c r="AL1110" s="26"/>
      <c r="AM1110" s="26"/>
      <c r="AN1110" s="26"/>
      <c r="AO1110" s="26"/>
      <c r="AP1110" s="26"/>
      <c r="AQ1110" s="26"/>
      <c r="AR1110" s="26"/>
      <c r="AS1110" s="26"/>
      <c r="AT1110" s="26"/>
      <c r="AU1110" s="26"/>
      <c r="AV1110" s="26"/>
      <c r="AW1110" s="26"/>
      <c r="AX1110" s="26"/>
      <c r="AY1110" s="26"/>
    </row>
    <row r="1111" spans="1:51" x14ac:dyDescent="0.25">
      <c r="J1111" s="16"/>
      <c r="S1111" s="26"/>
      <c r="T1111" s="26"/>
      <c r="U1111" s="26"/>
      <c r="V1111" s="26"/>
      <c r="W1111" s="26"/>
      <c r="X1111" s="26"/>
      <c r="Y1111" s="26"/>
      <c r="Z1111" s="26"/>
      <c r="AA1111" s="26"/>
      <c r="AB1111" s="26"/>
      <c r="AC1111" s="26"/>
      <c r="AD1111" s="26"/>
      <c r="AE1111" s="26"/>
      <c r="AF1111" s="26"/>
      <c r="AG1111" s="26"/>
      <c r="AH1111" s="26"/>
      <c r="AI1111" s="26"/>
      <c r="AJ1111" s="26"/>
      <c r="AK1111" s="26"/>
      <c r="AL1111" s="26"/>
      <c r="AM1111" s="26"/>
      <c r="AN1111" s="26"/>
      <c r="AO1111" s="26"/>
      <c r="AP1111" s="26"/>
      <c r="AQ1111" s="26"/>
      <c r="AR1111" s="26"/>
      <c r="AS1111" s="26"/>
      <c r="AT1111" s="26"/>
      <c r="AU1111" s="26"/>
      <c r="AV1111" s="26"/>
      <c r="AW1111" s="26"/>
      <c r="AX1111" s="26"/>
      <c r="AY1111" s="26"/>
    </row>
    <row r="1112" spans="1:51" ht="33.75" customHeight="1" x14ac:dyDescent="0.25">
      <c r="A1112" s="26"/>
      <c r="B1112" s="66" t="s">
        <v>201</v>
      </c>
      <c r="C1112" s="67"/>
      <c r="D1112" s="67"/>
      <c r="E1112" s="26"/>
      <c r="F1112" s="26"/>
      <c r="G1112" s="26"/>
      <c r="H1112" s="26"/>
      <c r="I1112" s="26"/>
      <c r="J1112" s="26"/>
      <c r="K1112" s="26"/>
      <c r="L1112" s="26"/>
      <c r="M1112" s="26"/>
      <c r="N1112" s="26"/>
      <c r="O1112" s="26"/>
      <c r="P1112" s="26"/>
      <c r="Q1112" s="26"/>
      <c r="R1112" s="26"/>
      <c r="S1112" s="26"/>
      <c r="T1112" s="26"/>
      <c r="U1112" s="26"/>
      <c r="V1112" s="26"/>
      <c r="W1112" s="26"/>
      <c r="X1112" s="26"/>
      <c r="Y1112" s="26"/>
      <c r="Z1112" s="26"/>
      <c r="AA1112" s="26"/>
      <c r="AB1112" s="26"/>
      <c r="AC1112" s="26"/>
      <c r="AD1112" s="26"/>
      <c r="AE1112" s="26"/>
      <c r="AF1112" s="26"/>
      <c r="AG1112" s="26"/>
      <c r="AH1112" s="26"/>
      <c r="AI1112" s="26"/>
      <c r="AJ1112" s="26"/>
      <c r="AK1112" s="26"/>
      <c r="AL1112" s="26"/>
      <c r="AM1112" s="26"/>
      <c r="AN1112" s="26"/>
      <c r="AO1112" s="26"/>
      <c r="AP1112" s="26"/>
      <c r="AQ1112" s="26"/>
      <c r="AR1112" s="26"/>
      <c r="AS1112" s="26"/>
      <c r="AT1112" s="26"/>
      <c r="AU1112" s="26"/>
      <c r="AV1112" s="26"/>
      <c r="AW1112" s="26"/>
      <c r="AX1112" s="26"/>
      <c r="AY1112" s="26"/>
    </row>
    <row r="1113" spans="1:51" x14ac:dyDescent="0.25">
      <c r="J1113" s="16"/>
      <c r="S1113" s="26"/>
      <c r="T1113" s="26"/>
      <c r="U1113" s="26"/>
      <c r="V1113" s="26"/>
      <c r="W1113" s="26"/>
      <c r="X1113" s="26"/>
      <c r="Y1113" s="26"/>
      <c r="Z1113" s="26"/>
      <c r="AA1113" s="26"/>
      <c r="AB1113" s="26"/>
      <c r="AC1113" s="26"/>
      <c r="AD1113" s="26"/>
      <c r="AE1113" s="26"/>
      <c r="AF1113" s="26"/>
      <c r="AG1113" s="26"/>
      <c r="AH1113" s="26"/>
      <c r="AI1113" s="26"/>
      <c r="AJ1113" s="26"/>
      <c r="AK1113" s="26"/>
      <c r="AL1113" s="26"/>
      <c r="AM1113" s="26"/>
      <c r="AN1113" s="26"/>
      <c r="AO1113" s="26"/>
      <c r="AP1113" s="26"/>
      <c r="AQ1113" s="26"/>
      <c r="AR1113" s="26"/>
      <c r="AS1113" s="26"/>
      <c r="AT1113" s="26"/>
      <c r="AU1113" s="26"/>
      <c r="AV1113" s="26"/>
      <c r="AW1113" s="26"/>
      <c r="AX1113" s="26"/>
      <c r="AY1113" s="26"/>
    </row>
    <row r="1114" spans="1:51" x14ac:dyDescent="0.25">
      <c r="B1114" s="31"/>
      <c r="C1114" s="50"/>
      <c r="D1114" s="50"/>
      <c r="S1114" s="26"/>
      <c r="T1114" s="26"/>
      <c r="U1114" s="26"/>
      <c r="V1114" s="26"/>
      <c r="W1114" s="26"/>
      <c r="X1114" s="26"/>
      <c r="Y1114" s="26"/>
      <c r="Z1114" s="26"/>
      <c r="AA1114" s="26"/>
      <c r="AB1114" s="26"/>
      <c r="AC1114" s="26"/>
      <c r="AD1114" s="26"/>
      <c r="AE1114" s="26"/>
      <c r="AF1114" s="26"/>
      <c r="AG1114" s="26"/>
      <c r="AH1114" s="26"/>
      <c r="AI1114" s="26"/>
      <c r="AJ1114" s="26"/>
      <c r="AK1114" s="26"/>
      <c r="AL1114" s="26"/>
      <c r="AM1114" s="26"/>
      <c r="AN1114" s="26"/>
      <c r="AO1114" s="26"/>
      <c r="AP1114" s="26"/>
      <c r="AQ1114" s="26"/>
      <c r="AR1114" s="26"/>
      <c r="AS1114" s="26"/>
      <c r="AT1114" s="26"/>
      <c r="AU1114" s="26"/>
      <c r="AV1114" s="26"/>
      <c r="AW1114" s="26"/>
      <c r="AX1114" s="26"/>
      <c r="AY1114" s="26"/>
    </row>
    <row r="1115" spans="1:51" x14ac:dyDescent="0.25">
      <c r="B1115" s="30" t="s">
        <v>227</v>
      </c>
      <c r="C1115" s="70" t="s">
        <v>202</v>
      </c>
      <c r="D1115" s="37" t="s">
        <v>202</v>
      </c>
      <c r="E1115" s="31"/>
      <c r="F1115" s="31"/>
      <c r="G1115" s="31"/>
      <c r="H1115" s="31"/>
      <c r="I1115" s="35"/>
      <c r="J1115" s="31"/>
      <c r="K1115" s="31"/>
      <c r="L1115" s="31"/>
      <c r="M1115" s="31"/>
      <c r="N1115" s="31"/>
      <c r="O1115" s="31"/>
      <c r="S1115" s="76"/>
      <c r="T1115" s="76"/>
      <c r="U1115" s="82"/>
      <c r="V1115" s="76"/>
      <c r="W1115" s="76"/>
      <c r="X1115" s="76"/>
      <c r="Y1115" s="76"/>
      <c r="Z1115" s="76"/>
      <c r="AA1115" s="76"/>
      <c r="AB1115" s="76"/>
      <c r="AC1115" s="76"/>
      <c r="AD1115" s="76"/>
      <c r="AE1115" s="76"/>
      <c r="AF1115" s="76"/>
      <c r="AG1115" s="76"/>
      <c r="AH1115" s="26"/>
      <c r="AI1115" s="26"/>
      <c r="AJ1115" s="26"/>
      <c r="AK1115" s="26"/>
      <c r="AL1115" s="26"/>
      <c r="AM1115" s="26"/>
      <c r="AN1115" s="26"/>
      <c r="AO1115" s="26"/>
      <c r="AP1115" s="26"/>
      <c r="AQ1115" s="26"/>
      <c r="AR1115" s="26"/>
      <c r="AS1115" s="26"/>
      <c r="AT1115" s="26"/>
      <c r="AU1115" s="26"/>
      <c r="AV1115" s="26"/>
      <c r="AW1115" s="26"/>
      <c r="AX1115" s="26"/>
      <c r="AY1115" s="26"/>
    </row>
    <row r="1116" spans="1:51" x14ac:dyDescent="0.25">
      <c r="B1116" s="52"/>
      <c r="C1116" s="70" t="s">
        <v>191</v>
      </c>
      <c r="D1116" s="37" t="s">
        <v>192</v>
      </c>
      <c r="E1116" s="31"/>
      <c r="F1116" s="31"/>
      <c r="G1116" s="31"/>
      <c r="H1116" s="31"/>
      <c r="I1116" s="35"/>
      <c r="J1116" s="31"/>
      <c r="K1116" s="31"/>
      <c r="L1116" s="31"/>
      <c r="M1116" s="31"/>
      <c r="N1116" s="31"/>
      <c r="O1116" s="31"/>
      <c r="S1116" s="76"/>
      <c r="T1116" s="76"/>
      <c r="U1116" s="82"/>
      <c r="V1116" s="76"/>
      <c r="W1116" s="76"/>
      <c r="X1116" s="76"/>
      <c r="Y1116" s="76"/>
      <c r="Z1116" s="76"/>
      <c r="AA1116" s="76"/>
      <c r="AB1116" s="76"/>
      <c r="AC1116" s="76"/>
      <c r="AD1116" s="76"/>
      <c r="AE1116" s="76"/>
      <c r="AF1116" s="76"/>
      <c r="AG1116" s="76"/>
      <c r="AH1116" s="26"/>
      <c r="AI1116" s="26"/>
      <c r="AJ1116" s="26"/>
      <c r="AK1116" s="26"/>
      <c r="AL1116" s="26"/>
      <c r="AM1116" s="26"/>
      <c r="AN1116" s="26"/>
      <c r="AO1116" s="26"/>
      <c r="AP1116" s="26"/>
      <c r="AQ1116" s="26"/>
      <c r="AR1116" s="26"/>
      <c r="AS1116" s="26"/>
      <c r="AT1116" s="26"/>
      <c r="AU1116" s="26"/>
      <c r="AV1116" s="26"/>
      <c r="AW1116" s="26"/>
      <c r="AX1116" s="26"/>
      <c r="AY1116" s="26"/>
    </row>
    <row r="1117" spans="1:51" x14ac:dyDescent="0.25">
      <c r="B1117" s="53" t="s">
        <v>192</v>
      </c>
      <c r="C1117" s="73"/>
      <c r="D1117" s="12" t="e">
        <f>SUM(#REF!)</f>
        <v>#REF!</v>
      </c>
      <c r="E1117" s="85"/>
      <c r="F1117" s="85"/>
      <c r="G1117" s="85"/>
      <c r="H1117" s="85"/>
      <c r="I1117" s="35"/>
      <c r="J1117" s="85"/>
      <c r="K1117" s="85"/>
      <c r="L1117" s="85"/>
      <c r="M1117" s="85"/>
      <c r="N1117" s="85"/>
      <c r="O1117" s="85"/>
      <c r="S1117" s="86"/>
      <c r="T1117" s="86"/>
      <c r="U1117" s="82"/>
      <c r="V1117" s="87"/>
      <c r="W1117" s="87"/>
      <c r="X1117" s="87"/>
      <c r="Y1117" s="87"/>
      <c r="Z1117" s="87"/>
      <c r="AA1117" s="87"/>
      <c r="AB1117" s="79"/>
      <c r="AC1117" s="79"/>
      <c r="AD1117" s="79"/>
      <c r="AE1117" s="79"/>
      <c r="AF1117" s="79"/>
      <c r="AG1117" s="79"/>
      <c r="AH1117" s="26"/>
      <c r="AI1117" s="26"/>
      <c r="AJ1117" s="26"/>
      <c r="AK1117" s="26"/>
      <c r="AL1117" s="26"/>
      <c r="AM1117" s="26"/>
      <c r="AN1117" s="26"/>
      <c r="AO1117" s="26"/>
      <c r="AP1117" s="26"/>
      <c r="AQ1117" s="26"/>
      <c r="AR1117" s="26"/>
      <c r="AS1117" s="26"/>
      <c r="AT1117" s="26"/>
      <c r="AU1117" s="26"/>
      <c r="AV1117" s="26"/>
      <c r="AW1117" s="26"/>
      <c r="AX1117" s="26"/>
      <c r="AY1117" s="26"/>
    </row>
    <row r="1118" spans="1:51" x14ac:dyDescent="0.25">
      <c r="B1118" s="53" t="s">
        <v>194</v>
      </c>
      <c r="C1118" s="73"/>
      <c r="D1118" s="12" t="e">
        <f>-(#REF!+#REF!)-(#REF!+#REF!)-(#REF!+#REF!)-(#REF!+#REF!)-(#REF!+#REF!)-(#REF!+#REF!)</f>
        <v>#REF!</v>
      </c>
      <c r="E1118" s="85"/>
      <c r="F1118" s="85"/>
      <c r="G1118" s="85"/>
      <c r="H1118" s="85"/>
      <c r="I1118" s="35"/>
      <c r="J1118" s="85"/>
      <c r="K1118" s="85"/>
      <c r="L1118" s="85"/>
      <c r="M1118" s="85"/>
      <c r="N1118" s="85"/>
      <c r="O1118" s="85"/>
      <c r="S1118" s="86"/>
      <c r="T1118" s="86"/>
      <c r="U1118" s="82"/>
      <c r="V1118" s="79"/>
      <c r="W1118" s="79"/>
      <c r="X1118" s="79"/>
      <c r="Y1118" s="79"/>
      <c r="Z1118" s="79"/>
      <c r="AA1118" s="79"/>
      <c r="AB1118" s="79"/>
      <c r="AC1118" s="79"/>
      <c r="AD1118" s="79"/>
      <c r="AE1118" s="79"/>
      <c r="AF1118" s="79"/>
      <c r="AG1118" s="79"/>
      <c r="AH1118" s="26"/>
      <c r="AI1118" s="26"/>
      <c r="AJ1118" s="26"/>
      <c r="AK1118" s="26"/>
      <c r="AL1118" s="26"/>
      <c r="AM1118" s="26"/>
      <c r="AN1118" s="26"/>
      <c r="AO1118" s="26"/>
      <c r="AP1118" s="26"/>
      <c r="AQ1118" s="26"/>
      <c r="AR1118" s="26"/>
      <c r="AS1118" s="26"/>
      <c r="AT1118" s="26"/>
      <c r="AU1118" s="26"/>
      <c r="AV1118" s="26"/>
      <c r="AW1118" s="26"/>
      <c r="AX1118" s="26"/>
      <c r="AY1118" s="26"/>
    </row>
    <row r="1119" spans="1:51" x14ac:dyDescent="0.25">
      <c r="B1119" s="95" t="s">
        <v>212</v>
      </c>
      <c r="C1119" s="73"/>
      <c r="D1119" s="12" t="e">
        <f>(-#REF!)</f>
        <v>#REF!</v>
      </c>
      <c r="E1119" s="85"/>
      <c r="F1119" s="85"/>
      <c r="G1119" s="85"/>
      <c r="H1119" s="85"/>
      <c r="I1119" s="35"/>
      <c r="J1119" s="85"/>
      <c r="K1119" s="85"/>
      <c r="L1119" s="85"/>
      <c r="M1119" s="85"/>
      <c r="N1119" s="85"/>
      <c r="O1119" s="85"/>
      <c r="S1119" s="86"/>
      <c r="T1119" s="86"/>
      <c r="U1119" s="82"/>
      <c r="V1119" s="79"/>
      <c r="W1119" s="79"/>
      <c r="X1119" s="79"/>
      <c r="Y1119" s="79"/>
      <c r="Z1119" s="79"/>
      <c r="AA1119" s="79"/>
      <c r="AB1119" s="79"/>
      <c r="AC1119" s="79"/>
      <c r="AD1119" s="79"/>
      <c r="AE1119" s="79"/>
      <c r="AF1119" s="79"/>
      <c r="AG1119" s="79"/>
      <c r="AH1119" s="26"/>
      <c r="AI1119" s="26"/>
      <c r="AJ1119" s="26"/>
      <c r="AK1119" s="26"/>
      <c r="AL1119" s="26"/>
      <c r="AM1119" s="26"/>
      <c r="AN1119" s="26"/>
      <c r="AO1119" s="26"/>
      <c r="AP1119" s="26"/>
      <c r="AQ1119" s="26"/>
      <c r="AR1119" s="26"/>
      <c r="AS1119" s="26"/>
      <c r="AT1119" s="26"/>
      <c r="AU1119" s="26"/>
      <c r="AV1119" s="26"/>
      <c r="AW1119" s="26"/>
      <c r="AX1119" s="26"/>
      <c r="AY1119" s="26"/>
    </row>
    <row r="1120" spans="1:51" x14ac:dyDescent="0.25">
      <c r="B1120" s="53"/>
      <c r="C1120" s="73"/>
      <c r="D1120" s="12"/>
      <c r="E1120" s="85"/>
      <c r="F1120" s="85"/>
      <c r="G1120" s="85"/>
      <c r="H1120" s="85"/>
      <c r="I1120" s="35"/>
      <c r="J1120" s="85"/>
      <c r="K1120" s="85"/>
      <c r="L1120" s="85"/>
      <c r="M1120" s="85"/>
      <c r="N1120" s="85"/>
      <c r="O1120" s="85"/>
      <c r="S1120" s="86"/>
      <c r="T1120" s="86"/>
      <c r="U1120" s="82"/>
      <c r="V1120" s="79"/>
      <c r="W1120" s="79"/>
      <c r="X1120" s="79"/>
      <c r="Y1120" s="79"/>
      <c r="Z1120" s="79"/>
      <c r="AA1120" s="79"/>
      <c r="AB1120" s="79"/>
      <c r="AC1120" s="79"/>
      <c r="AD1120" s="79"/>
      <c r="AE1120" s="79"/>
      <c r="AF1120" s="79"/>
      <c r="AG1120" s="79"/>
      <c r="AH1120" s="26"/>
      <c r="AI1120" s="26"/>
      <c r="AJ1120" s="26"/>
      <c r="AK1120" s="26"/>
      <c r="AL1120" s="26"/>
      <c r="AM1120" s="26"/>
      <c r="AN1120" s="26"/>
      <c r="AO1120" s="26"/>
      <c r="AP1120" s="26"/>
      <c r="AQ1120" s="26"/>
      <c r="AR1120" s="26"/>
      <c r="AS1120" s="26"/>
      <c r="AT1120" s="26"/>
      <c r="AU1120" s="26"/>
      <c r="AV1120" s="26"/>
      <c r="AW1120" s="26"/>
      <c r="AX1120" s="26"/>
      <c r="AY1120" s="26"/>
    </row>
    <row r="1121" spans="2:51" x14ac:dyDescent="0.25">
      <c r="B1121" s="53" t="s">
        <v>196</v>
      </c>
      <c r="C1121" s="73" t="e">
        <f>#REF!+#REF!+#REF!+#REF!+#REF!+#REF!+#REF!+#REF!+#REF!+#REF!+#REF!+#REF!+#REF!+#REF!</f>
        <v>#REF!</v>
      </c>
      <c r="D1121" s="12"/>
      <c r="E1121" s="85"/>
      <c r="F1121" s="85"/>
      <c r="G1121" s="85"/>
      <c r="H1121" s="85"/>
      <c r="I1121" s="35"/>
      <c r="J1121" s="85"/>
      <c r="K1121" s="85"/>
      <c r="L1121" s="85"/>
      <c r="M1121" s="85"/>
      <c r="N1121" s="85"/>
      <c r="O1121" s="85"/>
      <c r="S1121" s="86"/>
      <c r="T1121" s="86"/>
      <c r="U1121" s="82"/>
      <c r="V1121" s="79"/>
      <c r="W1121" s="79"/>
      <c r="X1121" s="79"/>
      <c r="Y1121" s="79"/>
      <c r="Z1121" s="79"/>
      <c r="AA1121" s="79"/>
      <c r="AB1121" s="79"/>
      <c r="AC1121" s="79"/>
      <c r="AD1121" s="79"/>
      <c r="AE1121" s="79"/>
      <c r="AF1121" s="79"/>
      <c r="AG1121" s="79"/>
      <c r="AH1121" s="26"/>
      <c r="AI1121" s="26"/>
      <c r="AJ1121" s="26"/>
      <c r="AK1121" s="26"/>
      <c r="AL1121" s="26"/>
      <c r="AM1121" s="26"/>
      <c r="AN1121" s="26"/>
      <c r="AO1121" s="26"/>
      <c r="AP1121" s="26"/>
      <c r="AQ1121" s="26"/>
      <c r="AR1121" s="26"/>
      <c r="AS1121" s="26"/>
      <c r="AT1121" s="26"/>
      <c r="AU1121" s="26"/>
      <c r="AV1121" s="26"/>
      <c r="AW1121" s="26"/>
      <c r="AX1121" s="26"/>
      <c r="AY1121" s="26"/>
    </row>
    <row r="1122" spans="2:51" x14ac:dyDescent="0.25">
      <c r="B1122" s="53" t="s">
        <v>203</v>
      </c>
      <c r="C1122" s="73" t="e">
        <f>#REF!+#REF!+#REF!+#REF!+#REF!+#REF!</f>
        <v>#REF!</v>
      </c>
      <c r="D1122" s="12"/>
      <c r="E1122" s="85"/>
      <c r="F1122" s="85"/>
      <c r="G1122" s="85"/>
      <c r="H1122" s="85"/>
      <c r="I1122" s="35"/>
      <c r="J1122" s="85"/>
      <c r="K1122" s="85"/>
      <c r="L1122" s="85"/>
      <c r="M1122" s="85"/>
      <c r="N1122" s="85"/>
      <c r="O1122" s="85"/>
      <c r="S1122" s="86"/>
      <c r="T1122" s="86"/>
      <c r="U1122" s="82"/>
      <c r="V1122" s="82"/>
      <c r="W1122" s="82"/>
      <c r="X1122" s="82"/>
      <c r="Y1122" s="82"/>
      <c r="Z1122" s="82"/>
      <c r="AA1122" s="82"/>
      <c r="AB1122" s="79"/>
      <c r="AC1122" s="79"/>
      <c r="AD1122" s="79"/>
      <c r="AE1122" s="79"/>
      <c r="AF1122" s="79"/>
      <c r="AG1122" s="79"/>
      <c r="AH1122" s="26"/>
      <c r="AI1122" s="26"/>
      <c r="AJ1122" s="26"/>
      <c r="AK1122" s="26"/>
      <c r="AL1122" s="26"/>
      <c r="AM1122" s="26"/>
      <c r="AN1122" s="26"/>
      <c r="AO1122" s="26"/>
      <c r="AP1122" s="26"/>
      <c r="AQ1122" s="26"/>
      <c r="AR1122" s="26"/>
      <c r="AS1122" s="26"/>
      <c r="AT1122" s="26"/>
      <c r="AU1122" s="26"/>
      <c r="AV1122" s="26"/>
      <c r="AW1122" s="26"/>
      <c r="AX1122" s="26"/>
      <c r="AY1122" s="26"/>
    </row>
    <row r="1123" spans="2:51" x14ac:dyDescent="0.25">
      <c r="B1123" s="53" t="s">
        <v>204</v>
      </c>
      <c r="C1123" s="73" t="e">
        <f>#REF!+#REF!+#REF!+#REF!+#REF!+#REF!</f>
        <v>#REF!</v>
      </c>
      <c r="D1123" s="12"/>
      <c r="E1123" s="85"/>
      <c r="F1123" s="85"/>
      <c r="G1123" s="85"/>
      <c r="H1123" s="85"/>
      <c r="I1123" s="35"/>
      <c r="J1123" s="85"/>
      <c r="K1123" s="85"/>
      <c r="L1123" s="85"/>
      <c r="M1123" s="85"/>
      <c r="N1123" s="85"/>
      <c r="O1123" s="85"/>
      <c r="S1123" s="86"/>
      <c r="T1123" s="86"/>
      <c r="U1123" s="82"/>
      <c r="V1123" s="82"/>
      <c r="W1123" s="82"/>
      <c r="X1123" s="82"/>
      <c r="Y1123" s="82"/>
      <c r="Z1123" s="82"/>
      <c r="AA1123" s="82"/>
      <c r="AB1123" s="79"/>
      <c r="AC1123" s="79"/>
      <c r="AD1123" s="79"/>
      <c r="AE1123" s="79"/>
      <c r="AF1123" s="79"/>
      <c r="AG1123" s="79"/>
      <c r="AH1123" s="26"/>
      <c r="AI1123" s="26"/>
      <c r="AJ1123" s="26"/>
      <c r="AK1123" s="26"/>
      <c r="AL1123" s="26"/>
      <c r="AM1123" s="26"/>
      <c r="AN1123" s="26"/>
      <c r="AO1123" s="26"/>
      <c r="AP1123" s="26"/>
      <c r="AQ1123" s="26"/>
      <c r="AR1123" s="26"/>
      <c r="AS1123" s="26"/>
      <c r="AT1123" s="26"/>
      <c r="AU1123" s="26"/>
      <c r="AV1123" s="26"/>
      <c r="AW1123" s="26"/>
      <c r="AX1123" s="26"/>
      <c r="AY1123" s="26"/>
    </row>
    <row r="1124" spans="2:51" x14ac:dyDescent="0.25">
      <c r="B1124" s="53" t="s">
        <v>205</v>
      </c>
      <c r="C1124" s="73" t="e">
        <f>#REF!+#REF!</f>
        <v>#REF!</v>
      </c>
      <c r="D1124" s="12"/>
      <c r="E1124" s="85"/>
      <c r="F1124" s="85"/>
      <c r="G1124" s="85"/>
      <c r="H1124" s="85"/>
      <c r="I1124" s="35"/>
      <c r="J1124" s="88"/>
      <c r="K1124" s="88"/>
      <c r="L1124" s="88"/>
      <c r="M1124" s="88"/>
      <c r="N1124" s="88"/>
      <c r="O1124" s="88"/>
      <c r="S1124" s="86"/>
      <c r="T1124" s="86"/>
      <c r="U1124" s="82"/>
      <c r="V1124" s="79"/>
      <c r="W1124" s="79"/>
      <c r="X1124" s="79"/>
      <c r="Y1124" s="79"/>
      <c r="Z1124" s="79"/>
      <c r="AA1124" s="79"/>
      <c r="AB1124" s="79"/>
      <c r="AC1124" s="79"/>
      <c r="AD1124" s="79"/>
      <c r="AE1124" s="79"/>
      <c r="AF1124" s="79"/>
      <c r="AG1124" s="79"/>
      <c r="AH1124" s="26"/>
      <c r="AI1124" s="26"/>
      <c r="AJ1124" s="26"/>
      <c r="AK1124" s="26"/>
      <c r="AL1124" s="26"/>
      <c r="AM1124" s="26"/>
      <c r="AN1124" s="26"/>
      <c r="AO1124" s="26"/>
      <c r="AP1124" s="26"/>
      <c r="AQ1124" s="26"/>
      <c r="AR1124" s="26"/>
      <c r="AS1124" s="26"/>
      <c r="AT1124" s="26"/>
      <c r="AU1124" s="26"/>
      <c r="AV1124" s="26"/>
      <c r="AW1124" s="26"/>
      <c r="AX1124" s="26"/>
      <c r="AY1124" s="26"/>
    </row>
    <row r="1125" spans="2:51" x14ac:dyDescent="0.25">
      <c r="B1125" s="53" t="s">
        <v>219</v>
      </c>
      <c r="C1125" s="73" t="e">
        <f>#REF!</f>
        <v>#REF!</v>
      </c>
      <c r="D1125" s="12"/>
      <c r="E1125" s="85"/>
      <c r="F1125" s="85"/>
      <c r="G1125" s="85"/>
      <c r="H1125" s="85"/>
      <c r="I1125" s="35"/>
      <c r="J1125" s="88"/>
      <c r="K1125" s="88"/>
      <c r="L1125" s="88"/>
      <c r="M1125" s="88"/>
      <c r="N1125" s="88"/>
      <c r="O1125" s="88"/>
      <c r="S1125" s="86"/>
      <c r="T1125" s="86"/>
      <c r="U1125" s="82"/>
      <c r="V1125" s="79"/>
      <c r="W1125" s="79"/>
      <c r="X1125" s="79"/>
      <c r="Y1125" s="79"/>
      <c r="Z1125" s="79"/>
      <c r="AA1125" s="79"/>
      <c r="AB1125" s="79"/>
      <c r="AC1125" s="79"/>
      <c r="AD1125" s="79"/>
      <c r="AE1125" s="79"/>
      <c r="AF1125" s="79"/>
      <c r="AG1125" s="79"/>
      <c r="AH1125" s="26"/>
      <c r="AI1125" s="26"/>
      <c r="AJ1125" s="26"/>
      <c r="AK1125" s="26"/>
      <c r="AL1125" s="26"/>
      <c r="AM1125" s="26"/>
      <c r="AN1125" s="26"/>
      <c r="AO1125" s="26"/>
      <c r="AP1125" s="26"/>
      <c r="AQ1125" s="26"/>
      <c r="AR1125" s="26"/>
      <c r="AS1125" s="26"/>
      <c r="AT1125" s="26"/>
      <c r="AU1125" s="26"/>
      <c r="AV1125" s="26"/>
      <c r="AW1125" s="26"/>
      <c r="AX1125" s="26"/>
      <c r="AY1125" s="26"/>
    </row>
    <row r="1126" spans="2:51" x14ac:dyDescent="0.25">
      <c r="B1126" s="53" t="s">
        <v>218</v>
      </c>
      <c r="C1126" s="73" t="e">
        <f>#REF!</f>
        <v>#REF!</v>
      </c>
      <c r="D1126" s="12"/>
      <c r="E1126" s="85"/>
      <c r="F1126" s="85"/>
      <c r="G1126" s="85"/>
      <c r="H1126" s="16"/>
      <c r="S1126" s="26"/>
      <c r="T1126" s="26"/>
      <c r="U1126" s="26"/>
      <c r="V1126" s="26"/>
      <c r="W1126" s="26"/>
      <c r="X1126" s="26"/>
      <c r="Y1126" s="26"/>
      <c r="Z1126" s="26"/>
      <c r="AA1126" s="26"/>
      <c r="AB1126" s="26"/>
      <c r="AC1126" s="26"/>
      <c r="AD1126" s="26"/>
      <c r="AE1126" s="26"/>
      <c r="AF1126" s="26"/>
      <c r="AG1126" s="26"/>
      <c r="AH1126" s="26"/>
      <c r="AI1126" s="26"/>
      <c r="AJ1126" s="26"/>
      <c r="AK1126" s="26"/>
      <c r="AL1126" s="26"/>
      <c r="AM1126" s="26"/>
      <c r="AN1126" s="26"/>
      <c r="AO1126" s="26"/>
      <c r="AP1126" s="26"/>
      <c r="AQ1126" s="26"/>
      <c r="AR1126" s="26"/>
      <c r="AS1126" s="26"/>
      <c r="AT1126" s="26"/>
      <c r="AU1126" s="26"/>
      <c r="AV1126" s="26"/>
      <c r="AW1126" s="26"/>
      <c r="AX1126" s="26"/>
      <c r="AY1126" s="26"/>
    </row>
    <row r="1127" spans="2:51" x14ac:dyDescent="0.25">
      <c r="B1127" s="53" t="s">
        <v>37</v>
      </c>
      <c r="C1127" s="73" t="e">
        <f>#REF!</f>
        <v>#REF!</v>
      </c>
      <c r="D1127" s="12"/>
      <c r="E1127" s="85"/>
      <c r="F1127" s="85"/>
      <c r="G1127" s="85"/>
      <c r="I1127" s="58"/>
      <c r="S1127" s="26"/>
      <c r="T1127" s="26"/>
      <c r="U1127" s="26"/>
      <c r="V1127" s="26"/>
      <c r="W1127" s="26"/>
      <c r="X1127" s="26"/>
      <c r="Y1127" s="26"/>
      <c r="Z1127" s="26"/>
      <c r="AA1127" s="26"/>
      <c r="AB1127" s="26"/>
      <c r="AC1127" s="26"/>
      <c r="AD1127" s="26"/>
      <c r="AE1127" s="26"/>
      <c r="AF1127" s="26"/>
      <c r="AG1127" s="26"/>
      <c r="AH1127" s="26"/>
      <c r="AI1127" s="26"/>
      <c r="AJ1127" s="26"/>
      <c r="AK1127" s="26"/>
      <c r="AL1127" s="26"/>
      <c r="AM1127" s="26"/>
      <c r="AN1127" s="26"/>
      <c r="AO1127" s="26"/>
      <c r="AP1127" s="26"/>
      <c r="AQ1127" s="26"/>
      <c r="AR1127" s="26"/>
      <c r="AS1127" s="26"/>
      <c r="AT1127" s="26"/>
      <c r="AU1127" s="26"/>
      <c r="AV1127" s="26"/>
      <c r="AW1127" s="26"/>
      <c r="AX1127" s="26"/>
      <c r="AY1127" s="26"/>
    </row>
    <row r="1128" spans="2:51" x14ac:dyDescent="0.25">
      <c r="B1128" s="55" t="s">
        <v>147</v>
      </c>
      <c r="C1128" s="56" t="e">
        <f>SUM(C1117:C1127)</f>
        <v>#REF!</v>
      </c>
      <c r="D1128" s="56" t="e">
        <f>SUM(D1117:D1127)</f>
        <v>#REF!</v>
      </c>
      <c r="E1128" s="50"/>
      <c r="F1128" s="89"/>
      <c r="G1128" s="16"/>
      <c r="I1128" s="58"/>
      <c r="S1128" s="26"/>
      <c r="T1128" s="26"/>
      <c r="U1128" s="26"/>
      <c r="V1128" s="26"/>
      <c r="W1128" s="26"/>
      <c r="X1128" s="26"/>
      <c r="Y1128" s="26"/>
      <c r="Z1128" s="26"/>
      <c r="AA1128" s="26"/>
      <c r="AB1128" s="26"/>
      <c r="AC1128" s="26"/>
      <c r="AD1128" s="26"/>
      <c r="AE1128" s="26"/>
      <c r="AF1128" s="26"/>
      <c r="AG1128" s="26"/>
      <c r="AH1128" s="26"/>
      <c r="AI1128" s="26"/>
      <c r="AJ1128" s="26"/>
      <c r="AK1128" s="26"/>
      <c r="AL1128" s="26"/>
      <c r="AM1128" s="26"/>
      <c r="AN1128" s="26"/>
      <c r="AO1128" s="26"/>
      <c r="AP1128" s="26"/>
      <c r="AQ1128" s="26"/>
      <c r="AR1128" s="26"/>
      <c r="AS1128" s="26"/>
      <c r="AT1128" s="26"/>
      <c r="AU1128" s="26"/>
      <c r="AV1128" s="26"/>
      <c r="AW1128" s="26"/>
      <c r="AX1128" s="26"/>
      <c r="AY1128" s="26"/>
    </row>
    <row r="1129" spans="2:51" x14ac:dyDescent="0.25">
      <c r="S1129" s="26"/>
      <c r="T1129" s="26"/>
      <c r="U1129" s="26"/>
      <c r="V1129" s="26"/>
      <c r="W1129" s="26"/>
      <c r="X1129" s="26"/>
      <c r="Y1129" s="26"/>
      <c r="Z1129" s="26"/>
      <c r="AA1129" s="26"/>
      <c r="AB1129" s="26"/>
      <c r="AC1129" s="26"/>
      <c r="AD1129" s="26"/>
      <c r="AE1129" s="26"/>
      <c r="AF1129" s="26"/>
      <c r="AG1129" s="26"/>
      <c r="AH1129" s="26"/>
      <c r="AI1129" s="26"/>
      <c r="AJ1129" s="26"/>
      <c r="AK1129" s="26"/>
      <c r="AL1129" s="26"/>
      <c r="AM1129" s="26"/>
      <c r="AN1129" s="26"/>
      <c r="AO1129" s="26"/>
      <c r="AP1129" s="26"/>
      <c r="AQ1129" s="26"/>
      <c r="AR1129" s="26"/>
      <c r="AS1129" s="26"/>
      <c r="AT1129" s="26"/>
      <c r="AU1129" s="26"/>
      <c r="AV1129" s="26"/>
      <c r="AW1129" s="26"/>
      <c r="AX1129" s="26"/>
      <c r="AY1129" s="26"/>
    </row>
    <row r="1130" spans="2:51" x14ac:dyDescent="0.25">
      <c r="S1130" s="26"/>
      <c r="T1130" s="26"/>
      <c r="U1130" s="26"/>
      <c r="V1130" s="26"/>
      <c r="W1130" s="26"/>
      <c r="X1130" s="26"/>
      <c r="Y1130" s="26"/>
      <c r="Z1130" s="26"/>
      <c r="AA1130" s="26"/>
      <c r="AB1130" s="26"/>
      <c r="AC1130" s="26"/>
      <c r="AD1130" s="26"/>
      <c r="AE1130" s="26"/>
      <c r="AF1130" s="26"/>
      <c r="AG1130" s="26"/>
      <c r="AH1130" s="26"/>
      <c r="AI1130" s="26"/>
      <c r="AJ1130" s="26"/>
      <c r="AK1130" s="26"/>
      <c r="AL1130" s="26"/>
      <c r="AM1130" s="26"/>
      <c r="AN1130" s="26"/>
      <c r="AO1130" s="26"/>
      <c r="AP1130" s="26"/>
      <c r="AQ1130" s="26"/>
      <c r="AR1130" s="26"/>
      <c r="AS1130" s="26"/>
      <c r="AT1130" s="26"/>
      <c r="AU1130" s="26"/>
      <c r="AV1130" s="26"/>
      <c r="AW1130" s="26"/>
      <c r="AX1130" s="26"/>
      <c r="AY1130" s="26"/>
    </row>
    <row r="1131" spans="2:51" x14ac:dyDescent="0.25">
      <c r="B1131" s="59" t="s">
        <v>227</v>
      </c>
      <c r="S1131" s="26"/>
      <c r="T1131" s="26"/>
      <c r="U1131" s="26"/>
      <c r="V1131" s="26"/>
      <c r="W1131" s="26"/>
      <c r="X1131" s="26"/>
      <c r="Y1131" s="26"/>
      <c r="Z1131" s="26"/>
      <c r="AA1131" s="26"/>
      <c r="AB1131" s="26"/>
      <c r="AC1131" s="26"/>
      <c r="AD1131" s="26"/>
      <c r="AE1131" s="26"/>
      <c r="AF1131" s="26"/>
      <c r="AG1131" s="26"/>
      <c r="AH1131" s="26"/>
      <c r="AI1131" s="26"/>
      <c r="AJ1131" s="26"/>
      <c r="AK1131" s="26"/>
      <c r="AL1131" s="26"/>
      <c r="AM1131" s="26"/>
      <c r="AN1131" s="26"/>
      <c r="AO1131" s="26"/>
      <c r="AP1131" s="26"/>
      <c r="AQ1131" s="26"/>
      <c r="AR1131" s="26"/>
      <c r="AS1131" s="26"/>
      <c r="AT1131" s="26"/>
      <c r="AU1131" s="26"/>
      <c r="AV1131" s="26"/>
      <c r="AW1131" s="26"/>
      <c r="AX1131" s="26"/>
      <c r="AY1131" s="26"/>
    </row>
    <row r="1132" spans="2:51" x14ac:dyDescent="0.25">
      <c r="S1132" s="26"/>
      <c r="T1132" s="26"/>
      <c r="U1132" s="26"/>
      <c r="V1132" s="26"/>
      <c r="W1132" s="26"/>
      <c r="X1132" s="26"/>
      <c r="Y1132" s="26"/>
      <c r="Z1132" s="26"/>
      <c r="AA1132" s="26"/>
      <c r="AB1132" s="26"/>
      <c r="AC1132" s="26"/>
      <c r="AD1132" s="26"/>
      <c r="AE1132" s="26"/>
      <c r="AF1132" s="26"/>
      <c r="AG1132" s="26"/>
      <c r="AH1132" s="26"/>
      <c r="AI1132" s="26"/>
      <c r="AJ1132" s="26"/>
      <c r="AK1132" s="26"/>
      <c r="AL1132" s="26"/>
      <c r="AM1132" s="26"/>
      <c r="AN1132" s="26"/>
      <c r="AO1132" s="26"/>
      <c r="AP1132" s="26"/>
      <c r="AQ1132" s="26"/>
      <c r="AR1132" s="26"/>
      <c r="AS1132" s="26"/>
      <c r="AT1132" s="26"/>
      <c r="AU1132" s="26"/>
      <c r="AV1132" s="26"/>
      <c r="AW1132" s="26"/>
      <c r="AX1132" s="26"/>
      <c r="AY1132" s="26"/>
    </row>
    <row r="1133" spans="2:51" x14ac:dyDescent="0.25">
      <c r="S1133" s="26"/>
      <c r="T1133" s="26"/>
      <c r="U1133" s="26"/>
      <c r="V1133" s="26"/>
      <c r="W1133" s="26"/>
      <c r="X1133" s="26"/>
      <c r="Y1133" s="26"/>
      <c r="Z1133" s="26"/>
      <c r="AA1133" s="26"/>
      <c r="AB1133" s="26"/>
      <c r="AC1133" s="26"/>
      <c r="AD1133" s="26"/>
      <c r="AE1133" s="26"/>
      <c r="AF1133" s="26"/>
      <c r="AG1133" s="26"/>
      <c r="AH1133" s="26"/>
      <c r="AI1133" s="26"/>
      <c r="AJ1133" s="26"/>
      <c r="AK1133" s="26"/>
      <c r="AL1133" s="26"/>
      <c r="AM1133" s="26"/>
      <c r="AN1133" s="26"/>
      <c r="AO1133" s="26"/>
      <c r="AP1133" s="26"/>
      <c r="AQ1133" s="26"/>
      <c r="AR1133" s="26"/>
      <c r="AS1133" s="26"/>
      <c r="AT1133" s="26"/>
      <c r="AU1133" s="26"/>
      <c r="AV1133" s="26"/>
      <c r="AW1133" s="26"/>
      <c r="AX1133" s="26"/>
      <c r="AY1133" s="26"/>
    </row>
    <row r="1134" spans="2:51" x14ac:dyDescent="0.25">
      <c r="S1134" s="26"/>
      <c r="T1134" s="26"/>
      <c r="U1134" s="26"/>
      <c r="V1134" s="26"/>
      <c r="W1134" s="26"/>
      <c r="X1134" s="26"/>
      <c r="Y1134" s="26"/>
      <c r="Z1134" s="26"/>
      <c r="AA1134" s="26"/>
      <c r="AB1134" s="26"/>
      <c r="AC1134" s="26"/>
      <c r="AD1134" s="26"/>
      <c r="AE1134" s="26"/>
      <c r="AF1134" s="26"/>
      <c r="AG1134" s="26"/>
      <c r="AH1134" s="26"/>
      <c r="AI1134" s="26"/>
      <c r="AJ1134" s="26"/>
      <c r="AK1134" s="26"/>
      <c r="AL1134" s="26"/>
      <c r="AM1134" s="26"/>
      <c r="AN1134" s="26"/>
      <c r="AO1134" s="26"/>
      <c r="AP1134" s="26"/>
      <c r="AQ1134" s="26"/>
      <c r="AR1134" s="26"/>
      <c r="AS1134" s="26"/>
      <c r="AT1134" s="26"/>
      <c r="AU1134" s="26"/>
      <c r="AV1134" s="26"/>
      <c r="AW1134" s="26"/>
      <c r="AX1134" s="26"/>
      <c r="AY1134" s="26"/>
    </row>
    <row r="1135" spans="2:51" x14ac:dyDescent="0.25">
      <c r="S1135" s="26"/>
      <c r="T1135" s="26"/>
      <c r="U1135" s="26"/>
      <c r="V1135" s="26"/>
      <c r="W1135" s="26"/>
      <c r="X1135" s="26"/>
      <c r="Y1135" s="26"/>
      <c r="Z1135" s="26"/>
      <c r="AA1135" s="26"/>
      <c r="AB1135" s="26"/>
      <c r="AC1135" s="26"/>
      <c r="AD1135" s="26"/>
      <c r="AE1135" s="26"/>
      <c r="AF1135" s="26"/>
      <c r="AG1135" s="26"/>
      <c r="AH1135" s="26"/>
      <c r="AI1135" s="26"/>
      <c r="AJ1135" s="26"/>
      <c r="AK1135" s="26"/>
      <c r="AL1135" s="26"/>
      <c r="AM1135" s="26"/>
      <c r="AN1135" s="26"/>
      <c r="AO1135" s="26"/>
      <c r="AP1135" s="26"/>
      <c r="AQ1135" s="26"/>
      <c r="AR1135" s="26"/>
      <c r="AS1135" s="26"/>
      <c r="AT1135" s="26"/>
      <c r="AU1135" s="26"/>
      <c r="AV1135" s="26"/>
      <c r="AW1135" s="26"/>
      <c r="AX1135" s="26"/>
      <c r="AY1135" s="26"/>
    </row>
    <row r="1136" spans="2:51" x14ac:dyDescent="0.25">
      <c r="S1136" s="26"/>
      <c r="T1136" s="26"/>
      <c r="U1136" s="26"/>
      <c r="V1136" s="26"/>
      <c r="W1136" s="26"/>
      <c r="X1136" s="26"/>
      <c r="Y1136" s="26"/>
      <c r="Z1136" s="26"/>
      <c r="AA1136" s="26"/>
      <c r="AB1136" s="26"/>
      <c r="AC1136" s="26"/>
      <c r="AD1136" s="26"/>
      <c r="AE1136" s="26"/>
      <c r="AF1136" s="26"/>
      <c r="AG1136" s="26"/>
      <c r="AH1136" s="26"/>
      <c r="AI1136" s="26"/>
      <c r="AJ1136" s="26"/>
      <c r="AK1136" s="26"/>
      <c r="AL1136" s="26"/>
      <c r="AM1136" s="26"/>
      <c r="AN1136" s="26"/>
      <c r="AO1136" s="26"/>
      <c r="AP1136" s="26"/>
      <c r="AQ1136" s="26"/>
      <c r="AR1136" s="26"/>
      <c r="AS1136" s="26"/>
      <c r="AT1136" s="26"/>
      <c r="AU1136" s="26"/>
      <c r="AV1136" s="26"/>
      <c r="AW1136" s="26"/>
      <c r="AX1136" s="26"/>
      <c r="AY1136" s="26"/>
    </row>
    <row r="1137" spans="19:51" x14ac:dyDescent="0.25">
      <c r="S1137" s="26"/>
      <c r="T1137" s="26"/>
      <c r="U1137" s="26"/>
      <c r="V1137" s="26"/>
      <c r="W1137" s="26"/>
      <c r="X1137" s="26"/>
      <c r="Y1137" s="26"/>
      <c r="Z1137" s="26"/>
      <c r="AA1137" s="26"/>
      <c r="AB1137" s="26"/>
      <c r="AC1137" s="26"/>
      <c r="AD1137" s="26"/>
      <c r="AE1137" s="26"/>
      <c r="AF1137" s="26"/>
      <c r="AG1137" s="26"/>
      <c r="AH1137" s="26"/>
      <c r="AI1137" s="26"/>
      <c r="AJ1137" s="26"/>
      <c r="AK1137" s="26"/>
      <c r="AL1137" s="26"/>
      <c r="AM1137" s="26"/>
      <c r="AN1137" s="26"/>
      <c r="AO1137" s="26"/>
      <c r="AP1137" s="26"/>
      <c r="AQ1137" s="26"/>
      <c r="AR1137" s="26"/>
      <c r="AS1137" s="26"/>
      <c r="AT1137" s="26"/>
      <c r="AU1137" s="26"/>
      <c r="AV1137" s="26"/>
      <c r="AW1137" s="26"/>
      <c r="AX1137" s="26"/>
      <c r="AY1137" s="26"/>
    </row>
    <row r="1138" spans="19:51" x14ac:dyDescent="0.25">
      <c r="S1138" s="26"/>
      <c r="T1138" s="26"/>
      <c r="U1138" s="26"/>
      <c r="V1138" s="26"/>
      <c r="W1138" s="26"/>
      <c r="X1138" s="26"/>
      <c r="Y1138" s="26"/>
      <c r="Z1138" s="26"/>
      <c r="AA1138" s="26"/>
      <c r="AB1138" s="26"/>
      <c r="AC1138" s="26"/>
      <c r="AD1138" s="26"/>
      <c r="AE1138" s="26"/>
      <c r="AF1138" s="26"/>
      <c r="AG1138" s="26"/>
      <c r="AH1138" s="26"/>
      <c r="AI1138" s="26"/>
      <c r="AJ1138" s="26"/>
      <c r="AK1138" s="26"/>
      <c r="AL1138" s="26"/>
      <c r="AM1138" s="26"/>
      <c r="AN1138" s="26"/>
      <c r="AO1138" s="26"/>
      <c r="AP1138" s="26"/>
      <c r="AQ1138" s="26"/>
      <c r="AR1138" s="26"/>
      <c r="AS1138" s="26"/>
      <c r="AT1138" s="26"/>
      <c r="AU1138" s="26"/>
      <c r="AV1138" s="26"/>
      <c r="AW1138" s="26"/>
      <c r="AX1138" s="26"/>
      <c r="AY1138" s="26"/>
    </row>
    <row r="1139" spans="19:51" x14ac:dyDescent="0.25">
      <c r="S1139" s="26"/>
      <c r="T1139" s="26"/>
      <c r="U1139" s="26"/>
      <c r="V1139" s="26"/>
      <c r="W1139" s="26"/>
      <c r="X1139" s="26"/>
      <c r="Y1139" s="26"/>
      <c r="Z1139" s="26"/>
      <c r="AA1139" s="26"/>
      <c r="AB1139" s="26"/>
      <c r="AC1139" s="26"/>
      <c r="AD1139" s="26"/>
      <c r="AE1139" s="26"/>
      <c r="AF1139" s="26"/>
      <c r="AG1139" s="26"/>
      <c r="AH1139" s="26"/>
      <c r="AI1139" s="26"/>
      <c r="AJ1139" s="26"/>
      <c r="AK1139" s="26"/>
      <c r="AL1139" s="26"/>
      <c r="AM1139" s="26"/>
      <c r="AN1139" s="26"/>
      <c r="AO1139" s="26"/>
      <c r="AP1139" s="26"/>
      <c r="AQ1139" s="26"/>
      <c r="AR1139" s="26"/>
      <c r="AS1139" s="26"/>
      <c r="AT1139" s="26"/>
      <c r="AU1139" s="26"/>
      <c r="AV1139" s="26"/>
      <c r="AW1139" s="26"/>
      <c r="AX1139" s="26"/>
      <c r="AY1139" s="26"/>
    </row>
    <row r="1140" spans="19:51" x14ac:dyDescent="0.25">
      <c r="S1140" s="26"/>
      <c r="T1140" s="26"/>
      <c r="U1140" s="26"/>
      <c r="V1140" s="26"/>
      <c r="W1140" s="26"/>
      <c r="X1140" s="26"/>
      <c r="Y1140" s="26"/>
      <c r="Z1140" s="26"/>
      <c r="AA1140" s="26"/>
      <c r="AB1140" s="26"/>
      <c r="AC1140" s="26"/>
      <c r="AD1140" s="26"/>
      <c r="AE1140" s="26"/>
      <c r="AF1140" s="26"/>
      <c r="AG1140" s="26"/>
      <c r="AH1140" s="26"/>
      <c r="AI1140" s="26"/>
      <c r="AJ1140" s="26"/>
      <c r="AK1140" s="26"/>
      <c r="AL1140" s="26"/>
      <c r="AM1140" s="26"/>
      <c r="AN1140" s="26"/>
      <c r="AO1140" s="26"/>
      <c r="AP1140" s="26"/>
      <c r="AQ1140" s="26"/>
      <c r="AR1140" s="26"/>
      <c r="AS1140" s="26"/>
      <c r="AT1140" s="26"/>
      <c r="AU1140" s="26"/>
      <c r="AV1140" s="26"/>
      <c r="AW1140" s="26"/>
      <c r="AX1140" s="26"/>
      <c r="AY1140" s="26"/>
    </row>
    <row r="1141" spans="19:51" x14ac:dyDescent="0.25">
      <c r="S1141" s="26"/>
      <c r="T1141" s="26"/>
      <c r="U1141" s="26"/>
      <c r="V1141" s="26"/>
      <c r="W1141" s="26"/>
      <c r="X1141" s="26"/>
      <c r="Y1141" s="26"/>
      <c r="Z1141" s="26"/>
      <c r="AA1141" s="26"/>
      <c r="AB1141" s="26"/>
      <c r="AC1141" s="26"/>
      <c r="AD1141" s="26"/>
      <c r="AE1141" s="26"/>
      <c r="AF1141" s="26"/>
      <c r="AG1141" s="26"/>
      <c r="AH1141" s="26"/>
      <c r="AI1141" s="26"/>
      <c r="AJ1141" s="26"/>
      <c r="AK1141" s="26"/>
      <c r="AL1141" s="26"/>
      <c r="AM1141" s="26"/>
      <c r="AN1141" s="26"/>
      <c r="AO1141" s="26"/>
      <c r="AP1141" s="26"/>
      <c r="AQ1141" s="26"/>
      <c r="AR1141" s="26"/>
      <c r="AS1141" s="26"/>
      <c r="AT1141" s="26"/>
      <c r="AU1141" s="26"/>
      <c r="AV1141" s="26"/>
      <c r="AW1141" s="26"/>
      <c r="AX1141" s="26"/>
      <c r="AY1141" s="26"/>
    </row>
    <row r="1142" spans="19:51" x14ac:dyDescent="0.25">
      <c r="S1142" s="26"/>
      <c r="T1142" s="26"/>
      <c r="U1142" s="26"/>
      <c r="V1142" s="26"/>
      <c r="W1142" s="26"/>
      <c r="X1142" s="26"/>
      <c r="Y1142" s="26"/>
      <c r="Z1142" s="26"/>
      <c r="AA1142" s="26"/>
      <c r="AB1142" s="26"/>
      <c r="AC1142" s="26"/>
      <c r="AD1142" s="26"/>
      <c r="AE1142" s="26"/>
      <c r="AF1142" s="26"/>
      <c r="AG1142" s="26"/>
      <c r="AH1142" s="26"/>
      <c r="AI1142" s="26"/>
      <c r="AJ1142" s="26"/>
      <c r="AK1142" s="26"/>
      <c r="AL1142" s="26"/>
      <c r="AM1142" s="26"/>
      <c r="AN1142" s="26"/>
      <c r="AO1142" s="26"/>
      <c r="AP1142" s="26"/>
      <c r="AQ1142" s="26"/>
      <c r="AR1142" s="26"/>
      <c r="AS1142" s="26"/>
      <c r="AT1142" s="26"/>
      <c r="AU1142" s="26"/>
      <c r="AV1142" s="26"/>
      <c r="AW1142" s="26"/>
      <c r="AX1142" s="26"/>
      <c r="AY1142" s="26"/>
    </row>
    <row r="1143" spans="19:51" x14ac:dyDescent="0.25">
      <c r="S1143" s="26"/>
      <c r="T1143" s="26"/>
      <c r="U1143" s="26"/>
      <c r="V1143" s="26"/>
      <c r="W1143" s="26"/>
      <c r="X1143" s="26"/>
      <c r="Y1143" s="26"/>
      <c r="Z1143" s="26"/>
      <c r="AA1143" s="26"/>
      <c r="AB1143" s="26"/>
      <c r="AC1143" s="26"/>
      <c r="AD1143" s="26"/>
      <c r="AE1143" s="26"/>
      <c r="AF1143" s="26"/>
      <c r="AG1143" s="26"/>
      <c r="AH1143" s="26"/>
      <c r="AI1143" s="26"/>
      <c r="AJ1143" s="26"/>
      <c r="AK1143" s="26"/>
      <c r="AL1143" s="26"/>
      <c r="AM1143" s="26"/>
      <c r="AN1143" s="26"/>
      <c r="AO1143" s="26"/>
      <c r="AP1143" s="26"/>
      <c r="AQ1143" s="26"/>
      <c r="AR1143" s="26"/>
      <c r="AS1143" s="26"/>
      <c r="AT1143" s="26"/>
      <c r="AU1143" s="26"/>
      <c r="AV1143" s="26"/>
      <c r="AW1143" s="26"/>
      <c r="AX1143" s="26"/>
      <c r="AY1143" s="26"/>
    </row>
    <row r="1144" spans="19:51" x14ac:dyDescent="0.25">
      <c r="S1144" s="26"/>
      <c r="T1144" s="26"/>
      <c r="U1144" s="26"/>
      <c r="V1144" s="26"/>
      <c r="W1144" s="26"/>
      <c r="X1144" s="26"/>
      <c r="Y1144" s="26"/>
      <c r="Z1144" s="26"/>
      <c r="AA1144" s="26"/>
      <c r="AB1144" s="26"/>
      <c r="AC1144" s="26"/>
      <c r="AD1144" s="26"/>
      <c r="AE1144" s="26"/>
      <c r="AF1144" s="26"/>
      <c r="AG1144" s="26"/>
      <c r="AH1144" s="26"/>
      <c r="AI1144" s="26"/>
      <c r="AJ1144" s="26"/>
      <c r="AK1144" s="26"/>
      <c r="AL1144" s="26"/>
      <c r="AM1144" s="26"/>
      <c r="AN1144" s="26"/>
      <c r="AO1144" s="26"/>
      <c r="AP1144" s="26"/>
      <c r="AQ1144" s="26"/>
      <c r="AR1144" s="26"/>
      <c r="AS1144" s="26"/>
      <c r="AT1144" s="26"/>
      <c r="AU1144" s="26"/>
      <c r="AV1144" s="26"/>
      <c r="AW1144" s="26"/>
      <c r="AX1144" s="26"/>
      <c r="AY1144" s="26"/>
    </row>
    <row r="1145" spans="19:51" x14ac:dyDescent="0.25">
      <c r="S1145" s="26"/>
      <c r="T1145" s="26"/>
      <c r="U1145" s="26"/>
      <c r="V1145" s="26"/>
      <c r="W1145" s="26"/>
      <c r="X1145" s="26"/>
      <c r="Y1145" s="26"/>
      <c r="Z1145" s="26"/>
      <c r="AA1145" s="26"/>
      <c r="AB1145" s="26"/>
      <c r="AC1145" s="26"/>
      <c r="AD1145" s="26"/>
      <c r="AE1145" s="26"/>
      <c r="AF1145" s="26"/>
      <c r="AG1145" s="26"/>
      <c r="AH1145" s="26"/>
      <c r="AI1145" s="26"/>
      <c r="AJ1145" s="26"/>
      <c r="AK1145" s="26"/>
      <c r="AL1145" s="26"/>
      <c r="AM1145" s="26"/>
      <c r="AN1145" s="26"/>
      <c r="AO1145" s="26"/>
      <c r="AP1145" s="26"/>
      <c r="AQ1145" s="26"/>
      <c r="AR1145" s="26"/>
      <c r="AS1145" s="26"/>
      <c r="AT1145" s="26"/>
      <c r="AU1145" s="26"/>
      <c r="AV1145" s="26"/>
      <c r="AW1145" s="26"/>
      <c r="AX1145" s="26"/>
      <c r="AY1145" s="26"/>
    </row>
    <row r="1146" spans="19:51" x14ac:dyDescent="0.25">
      <c r="S1146" s="26"/>
      <c r="T1146" s="26"/>
      <c r="U1146" s="26"/>
      <c r="V1146" s="26"/>
      <c r="W1146" s="26"/>
      <c r="X1146" s="26"/>
      <c r="Y1146" s="26"/>
      <c r="Z1146" s="26"/>
      <c r="AA1146" s="26"/>
      <c r="AB1146" s="26"/>
      <c r="AC1146" s="26"/>
      <c r="AD1146" s="26"/>
      <c r="AE1146" s="26"/>
      <c r="AF1146" s="26"/>
      <c r="AG1146" s="26"/>
      <c r="AH1146" s="26"/>
      <c r="AI1146" s="26"/>
      <c r="AJ1146" s="26"/>
      <c r="AK1146" s="26"/>
      <c r="AL1146" s="26"/>
      <c r="AM1146" s="26"/>
      <c r="AN1146" s="26"/>
      <c r="AO1146" s="26"/>
      <c r="AP1146" s="26"/>
      <c r="AQ1146" s="26"/>
      <c r="AR1146" s="26"/>
      <c r="AS1146" s="26"/>
      <c r="AT1146" s="26"/>
      <c r="AU1146" s="26"/>
      <c r="AV1146" s="26"/>
      <c r="AW1146" s="26"/>
      <c r="AX1146" s="26"/>
      <c r="AY1146" s="26"/>
    </row>
    <row r="1147" spans="19:51" x14ac:dyDescent="0.25">
      <c r="S1147" s="26"/>
      <c r="T1147" s="26"/>
      <c r="U1147" s="26"/>
      <c r="V1147" s="26"/>
      <c r="W1147" s="26"/>
      <c r="X1147" s="26"/>
      <c r="Y1147" s="26"/>
      <c r="Z1147" s="26"/>
      <c r="AA1147" s="26"/>
      <c r="AB1147" s="26"/>
      <c r="AC1147" s="26"/>
      <c r="AD1147" s="26"/>
      <c r="AE1147" s="26"/>
      <c r="AF1147" s="26"/>
      <c r="AG1147" s="26"/>
      <c r="AH1147" s="26"/>
      <c r="AI1147" s="26"/>
      <c r="AJ1147" s="26"/>
      <c r="AK1147" s="26"/>
      <c r="AL1147" s="26"/>
      <c r="AM1147" s="26"/>
      <c r="AN1147" s="26"/>
      <c r="AO1147" s="26"/>
      <c r="AP1147" s="26"/>
      <c r="AQ1147" s="26"/>
      <c r="AR1147" s="26"/>
      <c r="AS1147" s="26"/>
      <c r="AT1147" s="26"/>
      <c r="AU1147" s="26"/>
      <c r="AV1147" s="26"/>
      <c r="AW1147" s="26"/>
      <c r="AX1147" s="26"/>
      <c r="AY1147" s="26"/>
    </row>
    <row r="1148" spans="19:51" x14ac:dyDescent="0.25">
      <c r="S1148" s="26"/>
      <c r="T1148" s="26"/>
      <c r="U1148" s="26"/>
      <c r="V1148" s="26"/>
      <c r="W1148" s="26"/>
      <c r="X1148" s="26"/>
      <c r="Y1148" s="26"/>
      <c r="Z1148" s="26"/>
      <c r="AA1148" s="26"/>
      <c r="AB1148" s="26"/>
      <c r="AC1148" s="26"/>
      <c r="AD1148" s="26"/>
      <c r="AE1148" s="26"/>
      <c r="AF1148" s="26"/>
      <c r="AG1148" s="26"/>
      <c r="AH1148" s="26"/>
      <c r="AI1148" s="26"/>
      <c r="AJ1148" s="26"/>
      <c r="AK1148" s="26"/>
      <c r="AL1148" s="26"/>
      <c r="AM1148" s="26"/>
      <c r="AN1148" s="26"/>
      <c r="AO1148" s="26"/>
      <c r="AP1148" s="26"/>
      <c r="AQ1148" s="26"/>
      <c r="AR1148" s="26"/>
      <c r="AS1148" s="26"/>
      <c r="AT1148" s="26"/>
      <c r="AU1148" s="26"/>
      <c r="AV1148" s="26"/>
      <c r="AW1148" s="26"/>
      <c r="AX1148" s="26"/>
      <c r="AY1148" s="26"/>
    </row>
    <row r="1149" spans="19:51" x14ac:dyDescent="0.25">
      <c r="S1149" s="26"/>
      <c r="T1149" s="26"/>
      <c r="U1149" s="26"/>
      <c r="V1149" s="26"/>
      <c r="W1149" s="26"/>
      <c r="X1149" s="26"/>
      <c r="Y1149" s="26"/>
      <c r="Z1149" s="26"/>
      <c r="AA1149" s="26"/>
      <c r="AB1149" s="26"/>
      <c r="AC1149" s="26"/>
      <c r="AD1149" s="26"/>
      <c r="AE1149" s="26"/>
      <c r="AF1149" s="26"/>
      <c r="AG1149" s="26"/>
      <c r="AH1149" s="26"/>
      <c r="AI1149" s="26"/>
      <c r="AJ1149" s="26"/>
      <c r="AK1149" s="26"/>
      <c r="AL1149" s="26"/>
      <c r="AM1149" s="26"/>
      <c r="AN1149" s="26"/>
      <c r="AO1149" s="26"/>
      <c r="AP1149" s="26"/>
      <c r="AQ1149" s="26"/>
      <c r="AR1149" s="26"/>
      <c r="AS1149" s="26"/>
      <c r="AT1149" s="26"/>
      <c r="AU1149" s="26"/>
      <c r="AV1149" s="26"/>
      <c r="AW1149" s="26"/>
      <c r="AX1149" s="26"/>
      <c r="AY1149" s="26"/>
    </row>
    <row r="1150" spans="19:51" x14ac:dyDescent="0.25">
      <c r="S1150" s="26"/>
      <c r="T1150" s="26"/>
      <c r="U1150" s="26"/>
      <c r="V1150" s="26"/>
      <c r="W1150" s="26"/>
      <c r="X1150" s="26"/>
      <c r="Y1150" s="26"/>
      <c r="Z1150" s="26"/>
      <c r="AA1150" s="26"/>
      <c r="AB1150" s="26"/>
      <c r="AC1150" s="26"/>
      <c r="AD1150" s="26"/>
      <c r="AE1150" s="26"/>
      <c r="AF1150" s="26"/>
      <c r="AG1150" s="26"/>
      <c r="AH1150" s="26"/>
      <c r="AI1150" s="26"/>
      <c r="AJ1150" s="26"/>
      <c r="AK1150" s="26"/>
      <c r="AL1150" s="26"/>
      <c r="AM1150" s="26"/>
      <c r="AN1150" s="26"/>
      <c r="AO1150" s="26"/>
      <c r="AP1150" s="26"/>
      <c r="AQ1150" s="26"/>
      <c r="AR1150" s="26"/>
      <c r="AS1150" s="26"/>
      <c r="AT1150" s="26"/>
      <c r="AU1150" s="26"/>
      <c r="AV1150" s="26"/>
      <c r="AW1150" s="26"/>
      <c r="AX1150" s="26"/>
      <c r="AY1150" s="26"/>
    </row>
    <row r="1151" spans="19:51" x14ac:dyDescent="0.25">
      <c r="S1151" s="26"/>
      <c r="T1151" s="26"/>
      <c r="U1151" s="26"/>
      <c r="V1151" s="26"/>
      <c r="W1151" s="26"/>
      <c r="X1151" s="26"/>
      <c r="Y1151" s="26"/>
      <c r="Z1151" s="26"/>
      <c r="AA1151" s="26"/>
      <c r="AB1151" s="26"/>
      <c r="AC1151" s="26"/>
      <c r="AD1151" s="26"/>
      <c r="AE1151" s="26"/>
      <c r="AF1151" s="26"/>
      <c r="AG1151" s="26"/>
      <c r="AH1151" s="26"/>
      <c r="AI1151" s="26"/>
      <c r="AJ1151" s="26"/>
      <c r="AK1151" s="26"/>
      <c r="AL1151" s="26"/>
      <c r="AM1151" s="26"/>
      <c r="AN1151" s="26"/>
      <c r="AO1151" s="26"/>
      <c r="AP1151" s="26"/>
      <c r="AQ1151" s="26"/>
      <c r="AR1151" s="26"/>
      <c r="AS1151" s="26"/>
      <c r="AT1151" s="26"/>
      <c r="AU1151" s="26"/>
      <c r="AV1151" s="26"/>
      <c r="AW1151" s="26"/>
      <c r="AX1151" s="26"/>
      <c r="AY1151" s="26"/>
    </row>
    <row r="1152" spans="19:51" x14ac:dyDescent="0.25">
      <c r="S1152" s="26"/>
      <c r="T1152" s="26"/>
      <c r="U1152" s="26"/>
      <c r="V1152" s="26"/>
      <c r="W1152" s="26"/>
      <c r="X1152" s="26"/>
      <c r="Y1152" s="26"/>
      <c r="Z1152" s="26"/>
      <c r="AA1152" s="26"/>
      <c r="AB1152" s="26"/>
      <c r="AC1152" s="26"/>
      <c r="AD1152" s="26"/>
      <c r="AE1152" s="26"/>
      <c r="AF1152" s="26"/>
      <c r="AG1152" s="26"/>
      <c r="AH1152" s="26"/>
      <c r="AI1152" s="26"/>
      <c r="AJ1152" s="26"/>
      <c r="AK1152" s="26"/>
      <c r="AL1152" s="26"/>
      <c r="AM1152" s="26"/>
      <c r="AN1152" s="26"/>
      <c r="AO1152" s="26"/>
      <c r="AP1152" s="26"/>
      <c r="AQ1152" s="26"/>
      <c r="AR1152" s="26"/>
      <c r="AS1152" s="26"/>
      <c r="AT1152" s="26"/>
      <c r="AU1152" s="26"/>
      <c r="AV1152" s="26"/>
      <c r="AW1152" s="26"/>
      <c r="AX1152" s="26"/>
      <c r="AY1152" s="26"/>
    </row>
    <row r="1153" spans="2:51" x14ac:dyDescent="0.25">
      <c r="S1153" s="26"/>
      <c r="T1153" s="26"/>
      <c r="U1153" s="26"/>
      <c r="V1153" s="26"/>
      <c r="W1153" s="26"/>
      <c r="X1153" s="26"/>
      <c r="Y1153" s="26"/>
      <c r="Z1153" s="26"/>
      <c r="AA1153" s="26"/>
      <c r="AB1153" s="26"/>
      <c r="AC1153" s="26"/>
      <c r="AD1153" s="26"/>
      <c r="AE1153" s="26"/>
      <c r="AF1153" s="26"/>
      <c r="AG1153" s="26"/>
      <c r="AH1153" s="26"/>
      <c r="AI1153" s="26"/>
      <c r="AJ1153" s="26"/>
      <c r="AK1153" s="26"/>
      <c r="AL1153" s="26"/>
      <c r="AM1153" s="26"/>
      <c r="AN1153" s="26"/>
      <c r="AO1153" s="26"/>
      <c r="AP1153" s="26"/>
      <c r="AQ1153" s="26"/>
      <c r="AR1153" s="26"/>
      <c r="AS1153" s="26"/>
      <c r="AT1153" s="26"/>
      <c r="AU1153" s="26"/>
      <c r="AV1153" s="26"/>
      <c r="AW1153" s="26"/>
      <c r="AX1153" s="26"/>
      <c r="AY1153" s="26"/>
    </row>
    <row r="1154" spans="2:51" x14ac:dyDescent="0.25">
      <c r="S1154" s="26"/>
      <c r="T1154" s="26"/>
      <c r="U1154" s="26"/>
      <c r="V1154" s="26"/>
      <c r="W1154" s="26"/>
      <c r="X1154" s="26"/>
      <c r="Y1154" s="26"/>
      <c r="Z1154" s="26"/>
      <c r="AA1154" s="26"/>
      <c r="AB1154" s="26"/>
      <c r="AC1154" s="26"/>
      <c r="AD1154" s="26"/>
      <c r="AE1154" s="26"/>
      <c r="AF1154" s="26"/>
      <c r="AG1154" s="26"/>
      <c r="AH1154" s="26"/>
      <c r="AI1154" s="26"/>
      <c r="AJ1154" s="26"/>
      <c r="AK1154" s="26"/>
      <c r="AL1154" s="26"/>
      <c r="AM1154" s="26"/>
      <c r="AN1154" s="26"/>
      <c r="AO1154" s="26"/>
      <c r="AP1154" s="26"/>
      <c r="AQ1154" s="26"/>
      <c r="AR1154" s="26"/>
      <c r="AS1154" s="26"/>
      <c r="AT1154" s="26"/>
      <c r="AU1154" s="26"/>
      <c r="AV1154" s="26"/>
      <c r="AW1154" s="26"/>
      <c r="AX1154" s="26"/>
      <c r="AY1154" s="26"/>
    </row>
    <row r="1155" spans="2:51" x14ac:dyDescent="0.25">
      <c r="S1155" s="26"/>
      <c r="T1155" s="26"/>
      <c r="U1155" s="26"/>
      <c r="V1155" s="26"/>
      <c r="W1155" s="26"/>
      <c r="X1155" s="26"/>
      <c r="Y1155" s="26"/>
      <c r="Z1155" s="26"/>
      <c r="AA1155" s="26"/>
      <c r="AB1155" s="26"/>
      <c r="AC1155" s="26"/>
      <c r="AD1155" s="26"/>
      <c r="AE1155" s="26"/>
      <c r="AF1155" s="26"/>
      <c r="AG1155" s="26"/>
      <c r="AH1155" s="26"/>
      <c r="AI1155" s="26"/>
      <c r="AJ1155" s="26"/>
      <c r="AK1155" s="26"/>
      <c r="AL1155" s="26"/>
      <c r="AM1155" s="26"/>
      <c r="AN1155" s="26"/>
      <c r="AO1155" s="26"/>
      <c r="AP1155" s="26"/>
      <c r="AQ1155" s="26"/>
      <c r="AR1155" s="26"/>
      <c r="AS1155" s="26"/>
      <c r="AT1155" s="26"/>
      <c r="AU1155" s="26"/>
      <c r="AV1155" s="26"/>
      <c r="AW1155" s="26"/>
      <c r="AX1155" s="26"/>
      <c r="AY1155" s="26"/>
    </row>
    <row r="1156" spans="2:51" x14ac:dyDescent="0.25">
      <c r="S1156" s="26"/>
      <c r="T1156" s="26"/>
      <c r="U1156" s="26"/>
      <c r="V1156" s="26"/>
      <c r="W1156" s="26"/>
      <c r="X1156" s="26"/>
      <c r="Y1156" s="26"/>
      <c r="Z1156" s="26"/>
      <c r="AA1156" s="26"/>
      <c r="AB1156" s="26"/>
      <c r="AC1156" s="26"/>
      <c r="AD1156" s="26"/>
      <c r="AE1156" s="26"/>
      <c r="AF1156" s="26"/>
      <c r="AG1156" s="26"/>
      <c r="AH1156" s="26"/>
      <c r="AI1156" s="26"/>
      <c r="AJ1156" s="26"/>
      <c r="AK1156" s="26"/>
      <c r="AL1156" s="26"/>
      <c r="AM1156" s="26"/>
      <c r="AN1156" s="26"/>
      <c r="AO1156" s="26"/>
      <c r="AP1156" s="26"/>
      <c r="AQ1156" s="26"/>
      <c r="AR1156" s="26"/>
      <c r="AS1156" s="26"/>
      <c r="AT1156" s="26"/>
      <c r="AU1156" s="26"/>
      <c r="AV1156" s="26"/>
      <c r="AW1156" s="26"/>
      <c r="AX1156" s="26"/>
      <c r="AY1156" s="26"/>
    </row>
    <row r="1157" spans="2:51" x14ac:dyDescent="0.25">
      <c r="S1157" s="26"/>
      <c r="T1157" s="26"/>
      <c r="U1157" s="26"/>
      <c r="V1157" s="26"/>
      <c r="W1157" s="26"/>
      <c r="X1157" s="26"/>
      <c r="Y1157" s="26"/>
      <c r="Z1157" s="26"/>
      <c r="AA1157" s="26"/>
      <c r="AB1157" s="26"/>
      <c r="AC1157" s="26"/>
      <c r="AD1157" s="26"/>
      <c r="AE1157" s="26"/>
      <c r="AF1157" s="26"/>
      <c r="AG1157" s="26"/>
      <c r="AH1157" s="26"/>
      <c r="AI1157" s="26"/>
      <c r="AJ1157" s="26"/>
      <c r="AK1157" s="26"/>
      <c r="AL1157" s="26"/>
      <c r="AM1157" s="26"/>
      <c r="AN1157" s="26"/>
      <c r="AO1157" s="26"/>
      <c r="AP1157" s="26"/>
      <c r="AQ1157" s="26"/>
      <c r="AR1157" s="26"/>
      <c r="AS1157" s="26"/>
      <c r="AT1157" s="26"/>
      <c r="AU1157" s="26"/>
      <c r="AV1157" s="26"/>
      <c r="AW1157" s="26"/>
      <c r="AX1157" s="26"/>
      <c r="AY1157" s="26"/>
    </row>
    <row r="1158" spans="2:51" x14ac:dyDescent="0.25">
      <c r="C1158" s="60"/>
      <c r="D1158" s="60"/>
      <c r="H1158" s="16"/>
      <c r="I1158" s="16"/>
      <c r="J1158" s="16"/>
      <c r="K1158" s="16"/>
      <c r="L1158" s="16"/>
      <c r="M1158" s="16"/>
      <c r="N1158" s="16"/>
      <c r="O1158" s="16"/>
      <c r="S1158" s="26"/>
      <c r="T1158" s="38"/>
      <c r="U1158" s="38"/>
      <c r="V1158" s="38"/>
      <c r="W1158" s="26"/>
      <c r="X1158" s="26"/>
      <c r="Y1158" s="26"/>
      <c r="Z1158" s="26"/>
      <c r="AA1158" s="26"/>
      <c r="AB1158" s="26"/>
      <c r="AC1158" s="26"/>
      <c r="AD1158" s="26"/>
      <c r="AE1158" s="26"/>
      <c r="AF1158" s="26"/>
      <c r="AG1158" s="26"/>
      <c r="AH1158" s="26"/>
      <c r="AI1158" s="26"/>
      <c r="AJ1158" s="26"/>
      <c r="AK1158" s="26"/>
      <c r="AL1158" s="26"/>
      <c r="AM1158" s="26"/>
      <c r="AN1158" s="26"/>
      <c r="AO1158" s="26"/>
      <c r="AP1158" s="26"/>
      <c r="AQ1158" s="26"/>
      <c r="AR1158" s="26"/>
      <c r="AS1158" s="26"/>
      <c r="AT1158" s="26"/>
      <c r="AU1158" s="26"/>
      <c r="AV1158" s="26"/>
      <c r="AW1158" s="26"/>
      <c r="AX1158" s="26"/>
      <c r="AY1158" s="26"/>
    </row>
    <row r="1159" spans="2:51" x14ac:dyDescent="0.25">
      <c r="C1159" s="60"/>
      <c r="D1159" s="60"/>
      <c r="S1159" s="26"/>
      <c r="T1159" s="26"/>
      <c r="U1159" s="26"/>
      <c r="V1159" s="26"/>
      <c r="W1159" s="26"/>
      <c r="X1159" s="26"/>
      <c r="Y1159" s="26"/>
      <c r="Z1159" s="26"/>
      <c r="AA1159" s="26"/>
      <c r="AB1159" s="26"/>
      <c r="AC1159" s="26"/>
      <c r="AD1159" s="26"/>
      <c r="AE1159" s="26"/>
      <c r="AF1159" s="26"/>
      <c r="AG1159" s="26"/>
      <c r="AH1159" s="26"/>
      <c r="AI1159" s="26"/>
      <c r="AJ1159" s="26"/>
      <c r="AK1159" s="26"/>
      <c r="AL1159" s="26"/>
      <c r="AM1159" s="26"/>
      <c r="AN1159" s="26"/>
      <c r="AO1159" s="26"/>
      <c r="AP1159" s="26"/>
      <c r="AQ1159" s="26"/>
      <c r="AR1159" s="26"/>
      <c r="AS1159" s="26"/>
      <c r="AT1159" s="26"/>
      <c r="AU1159" s="26"/>
      <c r="AV1159" s="26"/>
      <c r="AW1159" s="26"/>
      <c r="AX1159" s="26"/>
      <c r="AY1159" s="26"/>
    </row>
    <row r="1160" spans="2:51" x14ac:dyDescent="0.25">
      <c r="E1160" s="16"/>
      <c r="F1160" s="16"/>
      <c r="G1160" s="16"/>
      <c r="S1160" s="26"/>
      <c r="T1160" s="26"/>
      <c r="U1160" s="26"/>
      <c r="V1160" s="26"/>
      <c r="W1160" s="26"/>
      <c r="X1160" s="26"/>
      <c r="Y1160" s="26"/>
      <c r="Z1160" s="26"/>
      <c r="AA1160" s="26"/>
      <c r="AB1160" s="26"/>
      <c r="AC1160" s="26"/>
      <c r="AD1160" s="26"/>
      <c r="AE1160" s="26"/>
      <c r="AF1160" s="26"/>
      <c r="AG1160" s="26"/>
      <c r="AH1160" s="26"/>
      <c r="AI1160" s="26"/>
      <c r="AJ1160" s="26"/>
      <c r="AK1160" s="26"/>
      <c r="AL1160" s="26"/>
      <c r="AM1160" s="26"/>
      <c r="AN1160" s="26"/>
      <c r="AO1160" s="26"/>
      <c r="AP1160" s="26"/>
      <c r="AQ1160" s="26"/>
      <c r="AR1160" s="26"/>
      <c r="AS1160" s="26"/>
      <c r="AT1160" s="26"/>
      <c r="AU1160" s="26"/>
      <c r="AV1160" s="26"/>
      <c r="AW1160" s="26"/>
      <c r="AX1160" s="26"/>
      <c r="AY1160" s="26"/>
    </row>
    <row r="1161" spans="2:51" x14ac:dyDescent="0.25">
      <c r="B1161" s="30" t="s">
        <v>228</v>
      </c>
      <c r="C1161" s="37" t="s">
        <v>129</v>
      </c>
      <c r="D1161" s="37" t="s">
        <v>129</v>
      </c>
      <c r="S1161" s="26"/>
      <c r="T1161" s="26"/>
      <c r="U1161" s="26"/>
      <c r="V1161" s="26"/>
      <c r="W1161" s="26"/>
      <c r="X1161" s="26"/>
      <c r="Y1161" s="26"/>
      <c r="Z1161" s="26"/>
      <c r="AA1161" s="26"/>
      <c r="AB1161" s="26"/>
      <c r="AC1161" s="26"/>
      <c r="AD1161" s="26"/>
      <c r="AE1161" s="26"/>
      <c r="AF1161" s="26"/>
      <c r="AG1161" s="26"/>
      <c r="AH1161" s="26"/>
      <c r="AI1161" s="26"/>
      <c r="AJ1161" s="26"/>
      <c r="AK1161" s="26"/>
      <c r="AL1161" s="26"/>
      <c r="AM1161" s="26"/>
      <c r="AN1161" s="26"/>
      <c r="AO1161" s="26"/>
      <c r="AP1161" s="26"/>
      <c r="AQ1161" s="26"/>
      <c r="AR1161" s="26"/>
      <c r="AS1161" s="26"/>
      <c r="AT1161" s="26"/>
      <c r="AU1161" s="26"/>
      <c r="AV1161" s="26"/>
      <c r="AW1161" s="26"/>
      <c r="AX1161" s="26"/>
      <c r="AY1161" s="26"/>
    </row>
    <row r="1162" spans="2:51" x14ac:dyDescent="0.25">
      <c r="B1162" s="14"/>
      <c r="C1162" s="30" t="s">
        <v>191</v>
      </c>
      <c r="D1162" s="30" t="s">
        <v>192</v>
      </c>
      <c r="S1162" s="26"/>
      <c r="T1162" s="26"/>
      <c r="U1162" s="26"/>
      <c r="V1162" s="26"/>
      <c r="W1162" s="26"/>
      <c r="X1162" s="26"/>
      <c r="Y1162" s="26"/>
      <c r="Z1162" s="26"/>
      <c r="AA1162" s="26"/>
      <c r="AB1162" s="26"/>
      <c r="AC1162" s="26"/>
      <c r="AD1162" s="26"/>
      <c r="AE1162" s="26"/>
      <c r="AF1162" s="26"/>
      <c r="AG1162" s="26"/>
      <c r="AH1162" s="26"/>
      <c r="AI1162" s="26"/>
      <c r="AJ1162" s="26"/>
      <c r="AK1162" s="26"/>
      <c r="AL1162" s="26"/>
      <c r="AM1162" s="26"/>
      <c r="AN1162" s="26"/>
      <c r="AO1162" s="26"/>
      <c r="AP1162" s="26"/>
      <c r="AQ1162" s="26"/>
      <c r="AR1162" s="26"/>
      <c r="AS1162" s="26"/>
      <c r="AT1162" s="26"/>
      <c r="AU1162" s="26"/>
      <c r="AV1162" s="26"/>
      <c r="AW1162" s="26"/>
      <c r="AX1162" s="26"/>
      <c r="AY1162" s="26"/>
    </row>
    <row r="1163" spans="2:51" x14ac:dyDescent="0.25">
      <c r="B1163" s="32" t="s">
        <v>192</v>
      </c>
      <c r="C1163" s="12"/>
      <c r="D1163" s="12" t="e">
        <f>SUM(#REF!)</f>
        <v>#REF!</v>
      </c>
      <c r="S1163" s="26"/>
      <c r="T1163" s="26"/>
      <c r="U1163" s="26"/>
      <c r="V1163" s="26"/>
      <c r="W1163" s="26"/>
      <c r="X1163" s="26"/>
      <c r="Y1163" s="26"/>
      <c r="Z1163" s="26"/>
      <c r="AA1163" s="26"/>
      <c r="AB1163" s="26"/>
      <c r="AC1163" s="26"/>
      <c r="AD1163" s="26"/>
      <c r="AE1163" s="26"/>
      <c r="AF1163" s="26"/>
      <c r="AG1163" s="26"/>
      <c r="AH1163" s="26"/>
      <c r="AI1163" s="26"/>
      <c r="AJ1163" s="26"/>
      <c r="AK1163" s="26"/>
      <c r="AL1163" s="26"/>
      <c r="AM1163" s="26"/>
      <c r="AN1163" s="26"/>
      <c r="AO1163" s="26"/>
      <c r="AP1163" s="26"/>
      <c r="AQ1163" s="26"/>
      <c r="AR1163" s="26"/>
      <c r="AS1163" s="26"/>
      <c r="AT1163" s="26"/>
      <c r="AU1163" s="26"/>
      <c r="AV1163" s="26"/>
      <c r="AW1163" s="26"/>
      <c r="AX1163" s="26"/>
      <c r="AY1163" s="26"/>
    </row>
    <row r="1164" spans="2:51" x14ac:dyDescent="0.25">
      <c r="B1164" s="32" t="s">
        <v>194</v>
      </c>
      <c r="C1164" s="12"/>
      <c r="D1164" s="12" t="e">
        <f>-(#REF!+#REF!)-(#REF!+#REF!)-(#REF!+#REF!)-(#REF!+#REF!)-(#REF!+#REF!)-(#REF!+#REF!)</f>
        <v>#REF!</v>
      </c>
      <c r="S1164" s="26"/>
      <c r="T1164" s="26"/>
      <c r="U1164" s="26"/>
      <c r="V1164" s="26"/>
      <c r="W1164" s="26"/>
      <c r="X1164" s="26"/>
      <c r="Y1164" s="26"/>
      <c r="Z1164" s="26"/>
      <c r="AA1164" s="26"/>
      <c r="AB1164" s="26"/>
      <c r="AC1164" s="26"/>
      <c r="AD1164" s="26"/>
      <c r="AE1164" s="26"/>
      <c r="AF1164" s="26"/>
      <c r="AG1164" s="26"/>
      <c r="AH1164" s="26"/>
      <c r="AI1164" s="26"/>
      <c r="AJ1164" s="26"/>
      <c r="AK1164" s="26"/>
      <c r="AL1164" s="26"/>
      <c r="AM1164" s="26"/>
      <c r="AN1164" s="26"/>
      <c r="AO1164" s="26"/>
      <c r="AP1164" s="26"/>
      <c r="AQ1164" s="26"/>
      <c r="AR1164" s="26"/>
      <c r="AS1164" s="26"/>
      <c r="AT1164" s="26"/>
      <c r="AU1164" s="26"/>
      <c r="AV1164" s="26"/>
      <c r="AW1164" s="26"/>
      <c r="AX1164" s="26"/>
      <c r="AY1164" s="26"/>
    </row>
    <row r="1165" spans="2:51" x14ac:dyDescent="0.25">
      <c r="B1165" s="95" t="s">
        <v>212</v>
      </c>
      <c r="C1165" s="83"/>
      <c r="D1165" s="84" t="e">
        <f>(-#REF!)</f>
        <v>#REF!</v>
      </c>
      <c r="S1165" s="26"/>
      <c r="T1165" s="26"/>
      <c r="U1165" s="26"/>
      <c r="V1165" s="26"/>
      <c r="W1165" s="26"/>
      <c r="X1165" s="26"/>
      <c r="Y1165" s="26"/>
      <c r="Z1165" s="26"/>
      <c r="AA1165" s="26"/>
      <c r="AB1165" s="26"/>
      <c r="AC1165" s="26"/>
      <c r="AD1165" s="26"/>
      <c r="AE1165" s="26"/>
      <c r="AF1165" s="26"/>
      <c r="AG1165" s="26"/>
      <c r="AH1165" s="26"/>
      <c r="AI1165" s="26"/>
      <c r="AJ1165" s="26"/>
      <c r="AK1165" s="26"/>
      <c r="AL1165" s="26"/>
      <c r="AM1165" s="26"/>
      <c r="AN1165" s="26"/>
      <c r="AO1165" s="26"/>
      <c r="AP1165" s="26"/>
      <c r="AQ1165" s="26"/>
      <c r="AR1165" s="26"/>
      <c r="AS1165" s="26"/>
      <c r="AT1165" s="26"/>
      <c r="AU1165" s="26"/>
      <c r="AV1165" s="26"/>
      <c r="AW1165" s="26"/>
      <c r="AX1165" s="26"/>
      <c r="AY1165" s="26"/>
    </row>
    <row r="1166" spans="2:51" x14ac:dyDescent="0.25">
      <c r="B1166" s="32"/>
      <c r="C1166" s="12"/>
      <c r="D1166" s="12"/>
      <c r="J1166" s="16"/>
      <c r="S1166" s="26"/>
      <c r="T1166" s="26"/>
      <c r="U1166" s="26"/>
      <c r="V1166" s="26"/>
      <c r="W1166" s="26"/>
      <c r="X1166" s="26"/>
      <c r="Y1166" s="26"/>
      <c r="Z1166" s="26"/>
      <c r="AA1166" s="26"/>
      <c r="AB1166" s="26"/>
      <c r="AC1166" s="26"/>
      <c r="AD1166" s="26"/>
      <c r="AE1166" s="26"/>
      <c r="AF1166" s="26"/>
      <c r="AG1166" s="26"/>
      <c r="AH1166" s="26"/>
      <c r="AI1166" s="26"/>
      <c r="AJ1166" s="26"/>
      <c r="AK1166" s="26"/>
      <c r="AL1166" s="26"/>
      <c r="AM1166" s="26"/>
      <c r="AN1166" s="26"/>
      <c r="AO1166" s="26"/>
      <c r="AP1166" s="26"/>
      <c r="AQ1166" s="26"/>
      <c r="AR1166" s="26"/>
      <c r="AS1166" s="26"/>
      <c r="AT1166" s="26"/>
      <c r="AU1166" s="26"/>
      <c r="AV1166" s="26"/>
      <c r="AW1166" s="26"/>
      <c r="AX1166" s="26"/>
      <c r="AY1166" s="26"/>
    </row>
    <row r="1167" spans="2:51" x14ac:dyDescent="0.25">
      <c r="B1167" s="32" t="s">
        <v>135</v>
      </c>
      <c r="C1167"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67" s="12"/>
      <c r="J1167" s="16"/>
      <c r="S1167" s="26"/>
      <c r="T1167" s="26"/>
      <c r="U1167" s="26"/>
      <c r="V1167" s="26"/>
      <c r="W1167" s="26"/>
      <c r="X1167" s="26"/>
      <c r="Y1167" s="26"/>
      <c r="Z1167" s="26"/>
      <c r="AA1167" s="26"/>
      <c r="AB1167" s="26"/>
      <c r="AC1167" s="26"/>
      <c r="AD1167" s="26"/>
      <c r="AE1167" s="26"/>
      <c r="AF1167" s="26"/>
      <c r="AG1167" s="26"/>
      <c r="AH1167" s="26"/>
      <c r="AI1167" s="26"/>
      <c r="AJ1167" s="26"/>
      <c r="AK1167" s="26"/>
      <c r="AL1167" s="26"/>
      <c r="AM1167" s="26"/>
      <c r="AN1167" s="26"/>
      <c r="AO1167" s="26"/>
      <c r="AP1167" s="26"/>
      <c r="AQ1167" s="26"/>
      <c r="AR1167" s="26"/>
      <c r="AS1167" s="26"/>
      <c r="AT1167" s="26"/>
      <c r="AU1167" s="26"/>
      <c r="AV1167" s="26"/>
      <c r="AW1167" s="26"/>
      <c r="AX1167" s="26"/>
      <c r="AY1167" s="26"/>
    </row>
    <row r="1168" spans="2:51" x14ac:dyDescent="0.25">
      <c r="B1168" s="32" t="s">
        <v>132</v>
      </c>
      <c r="C1168"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68" s="12"/>
      <c r="J1168" s="16"/>
      <c r="S1168" s="26"/>
      <c r="T1168" s="26"/>
      <c r="U1168" s="26"/>
      <c r="V1168" s="26"/>
      <c r="W1168" s="26"/>
      <c r="X1168" s="26"/>
      <c r="Y1168" s="26"/>
      <c r="Z1168" s="26"/>
      <c r="AA1168" s="26"/>
      <c r="AB1168" s="26"/>
      <c r="AC1168" s="26"/>
      <c r="AD1168" s="26"/>
      <c r="AE1168" s="26"/>
      <c r="AF1168" s="26"/>
      <c r="AG1168" s="26"/>
      <c r="AH1168" s="26"/>
      <c r="AI1168" s="26"/>
      <c r="AJ1168" s="26"/>
      <c r="AK1168" s="26"/>
      <c r="AL1168" s="26"/>
      <c r="AM1168" s="26"/>
      <c r="AN1168" s="26"/>
      <c r="AO1168" s="26"/>
      <c r="AP1168" s="26"/>
      <c r="AQ1168" s="26"/>
      <c r="AR1168" s="26"/>
      <c r="AS1168" s="26"/>
      <c r="AT1168" s="26"/>
      <c r="AU1168" s="26"/>
      <c r="AV1168" s="26"/>
      <c r="AW1168" s="26"/>
      <c r="AX1168" s="26"/>
      <c r="AY1168" s="26"/>
    </row>
    <row r="1169" spans="2:51" x14ac:dyDescent="0.25">
      <c r="B1169" s="32" t="s">
        <v>134</v>
      </c>
      <c r="C1169"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69" s="12"/>
      <c r="J1169" s="16"/>
      <c r="S1169" s="26"/>
      <c r="T1169" s="26"/>
      <c r="U1169" s="26"/>
      <c r="V1169" s="26"/>
      <c r="W1169" s="26"/>
      <c r="X1169" s="26"/>
      <c r="Y1169" s="26"/>
      <c r="Z1169" s="26"/>
      <c r="AA1169" s="26"/>
      <c r="AB1169" s="26"/>
      <c r="AC1169" s="26"/>
      <c r="AD1169" s="26"/>
      <c r="AE1169" s="26"/>
      <c r="AF1169" s="26"/>
      <c r="AG1169" s="26"/>
      <c r="AH1169" s="26"/>
      <c r="AI1169" s="26"/>
      <c r="AJ1169" s="26"/>
      <c r="AK1169" s="26"/>
      <c r="AL1169" s="26"/>
      <c r="AM1169" s="26"/>
      <c r="AN1169" s="26"/>
      <c r="AO1169" s="26"/>
      <c r="AP1169" s="26"/>
      <c r="AQ1169" s="26"/>
      <c r="AR1169" s="26"/>
      <c r="AS1169" s="26"/>
      <c r="AT1169" s="26"/>
      <c r="AU1169" s="26"/>
      <c r="AV1169" s="26"/>
      <c r="AW1169" s="26"/>
      <c r="AX1169" s="26"/>
      <c r="AY1169" s="26"/>
    </row>
    <row r="1170" spans="2:51" x14ac:dyDescent="0.25">
      <c r="B1170" s="32" t="s">
        <v>199</v>
      </c>
      <c r="C1170"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70" s="12"/>
      <c r="J1170" s="16"/>
      <c r="S1170" s="26"/>
      <c r="T1170" s="26"/>
      <c r="U1170" s="26"/>
      <c r="V1170" s="26"/>
      <c r="W1170" s="26"/>
      <c r="X1170" s="26"/>
      <c r="Y1170" s="26"/>
      <c r="Z1170" s="26"/>
      <c r="AA1170" s="26"/>
      <c r="AB1170" s="26"/>
      <c r="AC1170" s="26"/>
      <c r="AD1170" s="26"/>
      <c r="AE1170" s="26"/>
      <c r="AF1170" s="26"/>
      <c r="AG1170" s="26"/>
      <c r="AH1170" s="26"/>
      <c r="AI1170" s="26"/>
      <c r="AJ1170" s="26"/>
      <c r="AK1170" s="26"/>
      <c r="AL1170" s="26"/>
      <c r="AM1170" s="26"/>
      <c r="AN1170" s="26"/>
      <c r="AO1170" s="26"/>
      <c r="AP1170" s="26"/>
      <c r="AQ1170" s="26"/>
      <c r="AR1170" s="26"/>
      <c r="AS1170" s="26"/>
      <c r="AT1170" s="26"/>
      <c r="AU1170" s="26"/>
      <c r="AV1170" s="26"/>
      <c r="AW1170" s="26"/>
      <c r="AX1170" s="26"/>
      <c r="AY1170" s="26"/>
    </row>
    <row r="1171" spans="2:51" x14ac:dyDescent="0.25">
      <c r="B1171" s="32" t="s">
        <v>138</v>
      </c>
      <c r="C1171"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71" s="12"/>
      <c r="J1171" s="16"/>
      <c r="S1171" s="26"/>
      <c r="T1171" s="26"/>
      <c r="U1171" s="26"/>
      <c r="V1171" s="26"/>
      <c r="W1171" s="26"/>
      <c r="X1171" s="26"/>
      <c r="Y1171" s="26"/>
      <c r="Z1171" s="26"/>
      <c r="AA1171" s="26"/>
      <c r="AB1171" s="26"/>
      <c r="AC1171" s="26"/>
      <c r="AD1171" s="26"/>
      <c r="AE1171" s="26"/>
      <c r="AF1171" s="26"/>
      <c r="AG1171" s="26"/>
      <c r="AH1171" s="26"/>
      <c r="AI1171" s="26"/>
      <c r="AJ1171" s="26"/>
      <c r="AK1171" s="26"/>
      <c r="AL1171" s="26"/>
      <c r="AM1171" s="26"/>
      <c r="AN1171" s="26"/>
      <c r="AO1171" s="26"/>
      <c r="AP1171" s="26"/>
      <c r="AQ1171" s="26"/>
      <c r="AR1171" s="26"/>
      <c r="AS1171" s="26"/>
      <c r="AT1171" s="26"/>
      <c r="AU1171" s="26"/>
      <c r="AV1171" s="26"/>
      <c r="AW1171" s="26"/>
      <c r="AX1171" s="26"/>
      <c r="AY1171" s="26"/>
    </row>
    <row r="1172" spans="2:51" x14ac:dyDescent="0.25">
      <c r="B1172" s="32" t="s">
        <v>140</v>
      </c>
      <c r="C1172"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72" s="12"/>
      <c r="J1172" s="16"/>
      <c r="S1172" s="26"/>
      <c r="T1172" s="26"/>
      <c r="U1172" s="26"/>
      <c r="V1172" s="26"/>
      <c r="W1172" s="26"/>
      <c r="X1172" s="26"/>
      <c r="Y1172" s="26"/>
      <c r="Z1172" s="26"/>
      <c r="AA1172" s="26"/>
      <c r="AB1172" s="26"/>
      <c r="AC1172" s="26"/>
      <c r="AD1172" s="26"/>
      <c r="AE1172" s="26"/>
      <c r="AF1172" s="26"/>
      <c r="AG1172" s="26"/>
      <c r="AH1172" s="26"/>
      <c r="AI1172" s="26"/>
      <c r="AJ1172" s="26"/>
      <c r="AK1172" s="26"/>
      <c r="AL1172" s="26"/>
      <c r="AM1172" s="26"/>
      <c r="AN1172" s="26"/>
      <c r="AO1172" s="26"/>
      <c r="AP1172" s="26"/>
      <c r="AQ1172" s="26"/>
      <c r="AR1172" s="26"/>
      <c r="AS1172" s="26"/>
      <c r="AT1172" s="26"/>
      <c r="AU1172" s="26"/>
      <c r="AV1172" s="26"/>
      <c r="AW1172" s="26"/>
      <c r="AX1172" s="26"/>
      <c r="AY1172" s="26"/>
    </row>
    <row r="1173" spans="2:51" x14ac:dyDescent="0.25">
      <c r="B1173" s="32" t="s">
        <v>141</v>
      </c>
      <c r="C1173"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73" s="12"/>
      <c r="J1173" s="16"/>
      <c r="S1173" s="26"/>
      <c r="T1173" s="26"/>
      <c r="U1173" s="26"/>
      <c r="V1173" s="26"/>
      <c r="W1173" s="26"/>
      <c r="X1173" s="26"/>
      <c r="Y1173" s="26"/>
      <c r="Z1173" s="26"/>
      <c r="AA1173" s="26"/>
      <c r="AB1173" s="26"/>
      <c r="AC1173" s="26"/>
      <c r="AD1173" s="26"/>
      <c r="AE1173" s="26"/>
      <c r="AF1173" s="26"/>
      <c r="AG1173" s="26"/>
      <c r="AH1173" s="26"/>
      <c r="AI1173" s="26"/>
      <c r="AJ1173" s="26"/>
      <c r="AK1173" s="26"/>
      <c r="AL1173" s="26"/>
      <c r="AM1173" s="26"/>
      <c r="AN1173" s="26"/>
      <c r="AO1173" s="26"/>
      <c r="AP1173" s="26"/>
      <c r="AQ1173" s="26"/>
      <c r="AR1173" s="26"/>
      <c r="AS1173" s="26"/>
      <c r="AT1173" s="26"/>
      <c r="AU1173" s="26"/>
      <c r="AV1173" s="26"/>
      <c r="AW1173" s="26"/>
      <c r="AX1173" s="26"/>
      <c r="AY1173" s="26"/>
    </row>
    <row r="1174" spans="2:51" x14ac:dyDescent="0.25">
      <c r="B1174" s="32" t="s">
        <v>206</v>
      </c>
      <c r="C1174" s="12" t="e">
        <f>#REF!+#REF!+#REF!+#REF!+#REF!+#REF!</f>
        <v>#REF!</v>
      </c>
      <c r="D1174" s="12"/>
      <c r="J1174" s="16"/>
      <c r="S1174" s="26"/>
      <c r="T1174" s="26"/>
      <c r="U1174" s="26"/>
      <c r="V1174" s="26"/>
      <c r="W1174" s="26"/>
      <c r="X1174" s="26"/>
      <c r="Y1174" s="26"/>
      <c r="Z1174" s="26"/>
      <c r="AA1174" s="26"/>
      <c r="AB1174" s="26"/>
      <c r="AC1174" s="26"/>
      <c r="AD1174" s="26"/>
      <c r="AE1174" s="26"/>
      <c r="AF1174" s="26"/>
      <c r="AG1174" s="26"/>
      <c r="AH1174" s="26"/>
      <c r="AI1174" s="26"/>
      <c r="AJ1174" s="26"/>
      <c r="AK1174" s="26"/>
      <c r="AL1174" s="26"/>
      <c r="AM1174" s="26"/>
      <c r="AN1174" s="26"/>
      <c r="AO1174" s="26"/>
      <c r="AP1174" s="26"/>
      <c r="AQ1174" s="26"/>
      <c r="AR1174" s="26"/>
      <c r="AS1174" s="26"/>
      <c r="AT1174" s="26"/>
      <c r="AU1174" s="26"/>
      <c r="AV1174" s="26"/>
      <c r="AW1174" s="26"/>
      <c r="AX1174" s="26"/>
      <c r="AY1174" s="26"/>
    </row>
    <row r="1175" spans="2:51" x14ac:dyDescent="0.25">
      <c r="B1175" s="32" t="s">
        <v>143</v>
      </c>
      <c r="C1175" s="12" t="e">
        <f>#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REF!*#REF!/100</f>
        <v>#REF!</v>
      </c>
      <c r="D1175" s="12"/>
      <c r="J1175" s="16"/>
      <c r="S1175" s="26"/>
      <c r="T1175" s="26"/>
      <c r="U1175" s="26"/>
      <c r="V1175" s="26"/>
      <c r="W1175" s="26"/>
      <c r="X1175" s="26"/>
      <c r="Y1175" s="26"/>
      <c r="Z1175" s="26"/>
      <c r="AA1175" s="26"/>
      <c r="AB1175" s="26"/>
      <c r="AC1175" s="26"/>
      <c r="AD1175" s="26"/>
      <c r="AE1175" s="26"/>
      <c r="AF1175" s="26"/>
      <c r="AG1175" s="26"/>
      <c r="AH1175" s="26"/>
      <c r="AI1175" s="26"/>
      <c r="AJ1175" s="26"/>
      <c r="AK1175" s="26"/>
      <c r="AL1175" s="26"/>
      <c r="AM1175" s="26"/>
      <c r="AN1175" s="26"/>
      <c r="AO1175" s="26"/>
      <c r="AP1175" s="26"/>
      <c r="AQ1175" s="26"/>
      <c r="AR1175" s="26"/>
      <c r="AS1175" s="26"/>
      <c r="AT1175" s="26"/>
      <c r="AU1175" s="26"/>
      <c r="AV1175" s="26"/>
      <c r="AW1175" s="26"/>
      <c r="AX1175" s="26"/>
      <c r="AY1175" s="26"/>
    </row>
    <row r="1176" spans="2:51" x14ac:dyDescent="0.25">
      <c r="B1176" s="32" t="s">
        <v>144</v>
      </c>
      <c r="C1176" s="12" t="e">
        <f>#REF!*#REF!/100+#REF!*#REF!/100</f>
        <v>#REF!</v>
      </c>
      <c r="D1176" s="12"/>
      <c r="J1176" s="16"/>
      <c r="S1176" s="26"/>
      <c r="T1176" s="26"/>
      <c r="U1176" s="26"/>
      <c r="V1176" s="26"/>
      <c r="W1176" s="26"/>
      <c r="X1176" s="26"/>
      <c r="Y1176" s="26"/>
      <c r="Z1176" s="26"/>
      <c r="AA1176" s="26"/>
      <c r="AB1176" s="26"/>
      <c r="AC1176" s="26"/>
      <c r="AD1176" s="26"/>
      <c r="AE1176" s="26"/>
      <c r="AF1176" s="26"/>
      <c r="AG1176" s="26"/>
      <c r="AH1176" s="26"/>
      <c r="AI1176" s="26"/>
      <c r="AJ1176" s="26"/>
      <c r="AK1176" s="26"/>
      <c r="AL1176" s="26"/>
      <c r="AM1176" s="26"/>
      <c r="AN1176" s="26"/>
      <c r="AO1176" s="26"/>
      <c r="AP1176" s="26"/>
      <c r="AQ1176" s="26"/>
      <c r="AR1176" s="26"/>
      <c r="AS1176" s="26"/>
      <c r="AT1176" s="26"/>
      <c r="AU1176" s="26"/>
      <c r="AV1176" s="26"/>
      <c r="AW1176" s="26"/>
      <c r="AX1176" s="26"/>
      <c r="AY1176" s="26"/>
    </row>
    <row r="1177" spans="2:51" x14ac:dyDescent="0.25">
      <c r="B1177" s="32" t="s">
        <v>219</v>
      </c>
      <c r="C1177" s="106" t="e">
        <f>#REF!*#REF!/100</f>
        <v>#REF!</v>
      </c>
      <c r="D1177" s="12"/>
      <c r="J1177" s="16"/>
      <c r="S1177" s="26"/>
      <c r="T1177" s="26"/>
      <c r="U1177" s="26"/>
      <c r="V1177" s="26"/>
      <c r="W1177" s="26"/>
      <c r="X1177" s="26"/>
      <c r="Y1177" s="26"/>
      <c r="Z1177" s="26"/>
      <c r="AA1177" s="26"/>
      <c r="AB1177" s="26"/>
      <c r="AC1177" s="26"/>
      <c r="AD1177" s="26"/>
      <c r="AE1177" s="26"/>
      <c r="AF1177" s="26"/>
      <c r="AG1177" s="26"/>
      <c r="AH1177" s="26"/>
      <c r="AI1177" s="26"/>
      <c r="AJ1177" s="26"/>
      <c r="AK1177" s="26"/>
      <c r="AL1177" s="26"/>
      <c r="AM1177" s="26"/>
      <c r="AN1177" s="26"/>
      <c r="AO1177" s="26"/>
      <c r="AP1177" s="26"/>
      <c r="AQ1177" s="26"/>
      <c r="AR1177" s="26"/>
      <c r="AS1177" s="26"/>
      <c r="AT1177" s="26"/>
      <c r="AU1177" s="26"/>
      <c r="AV1177" s="26"/>
      <c r="AW1177" s="26"/>
      <c r="AX1177" s="26"/>
      <c r="AY1177" s="26"/>
    </row>
    <row r="1178" spans="2:51" x14ac:dyDescent="0.25">
      <c r="B1178" s="32" t="s">
        <v>218</v>
      </c>
      <c r="C1178" s="12" t="e">
        <f>#REF!</f>
        <v>#REF!</v>
      </c>
      <c r="D1178" s="12"/>
      <c r="J1178" s="16"/>
      <c r="S1178" s="26"/>
      <c r="T1178" s="26"/>
      <c r="U1178" s="26"/>
      <c r="V1178" s="26"/>
      <c r="W1178" s="26"/>
      <c r="X1178" s="26"/>
      <c r="Y1178" s="26"/>
      <c r="Z1178" s="26"/>
      <c r="AA1178" s="26"/>
      <c r="AB1178" s="26"/>
      <c r="AC1178" s="26"/>
      <c r="AD1178" s="26"/>
      <c r="AE1178" s="26"/>
      <c r="AF1178" s="26"/>
      <c r="AG1178" s="26"/>
      <c r="AH1178" s="26"/>
      <c r="AI1178" s="26"/>
      <c r="AJ1178" s="26"/>
      <c r="AK1178" s="26"/>
      <c r="AL1178" s="26"/>
      <c r="AM1178" s="26"/>
      <c r="AN1178" s="26"/>
      <c r="AO1178" s="26"/>
      <c r="AP1178" s="26"/>
      <c r="AQ1178" s="26"/>
      <c r="AR1178" s="26"/>
      <c r="AS1178" s="26"/>
      <c r="AT1178" s="26"/>
      <c r="AU1178" s="26"/>
      <c r="AV1178" s="26"/>
      <c r="AW1178" s="26"/>
      <c r="AX1178" s="26"/>
      <c r="AY1178" s="26"/>
    </row>
    <row r="1179" spans="2:51" x14ac:dyDescent="0.25">
      <c r="B1179" s="55" t="s">
        <v>147</v>
      </c>
      <c r="C1179" s="56" t="e">
        <f>SUM(C1163:C1178)</f>
        <v>#REF!</v>
      </c>
      <c r="D1179" s="56" t="e">
        <f>SUM(D1163:D1178)</f>
        <v>#REF!</v>
      </c>
      <c r="F1179" s="90"/>
      <c r="J1179" s="16"/>
      <c r="S1179" s="26"/>
      <c r="T1179" s="26"/>
      <c r="U1179" s="26"/>
      <c r="V1179" s="26"/>
      <c r="W1179" s="26"/>
      <c r="X1179" s="26"/>
      <c r="Y1179" s="26"/>
      <c r="Z1179" s="26"/>
      <c r="AA1179" s="26"/>
      <c r="AB1179" s="26"/>
      <c r="AC1179" s="26"/>
      <c r="AD1179" s="26"/>
      <c r="AE1179" s="26"/>
      <c r="AF1179" s="26"/>
      <c r="AG1179" s="26"/>
      <c r="AH1179" s="26"/>
      <c r="AI1179" s="26"/>
      <c r="AJ1179" s="26"/>
      <c r="AK1179" s="26"/>
      <c r="AL1179" s="26"/>
      <c r="AM1179" s="26"/>
      <c r="AN1179" s="26"/>
      <c r="AO1179" s="26"/>
      <c r="AP1179" s="26"/>
      <c r="AQ1179" s="26"/>
      <c r="AR1179" s="26"/>
      <c r="AS1179" s="26"/>
      <c r="AT1179" s="26"/>
      <c r="AU1179" s="26"/>
      <c r="AV1179" s="26"/>
      <c r="AW1179" s="26"/>
      <c r="AX1179" s="26"/>
      <c r="AY1179" s="26"/>
    </row>
    <row r="1180" spans="2:51" x14ac:dyDescent="0.25">
      <c r="B1180" s="31"/>
      <c r="F1180" s="81"/>
      <c r="J1180" s="16"/>
      <c r="S1180" s="26"/>
      <c r="T1180" s="26"/>
      <c r="U1180" s="26"/>
      <c r="V1180" s="26"/>
      <c r="W1180" s="26"/>
      <c r="X1180" s="26"/>
      <c r="Y1180" s="26"/>
      <c r="Z1180" s="26"/>
      <c r="AA1180" s="26"/>
      <c r="AB1180" s="26"/>
      <c r="AC1180" s="26"/>
      <c r="AD1180" s="26"/>
      <c r="AE1180" s="26"/>
      <c r="AF1180" s="26"/>
      <c r="AG1180" s="26"/>
      <c r="AH1180" s="26"/>
      <c r="AI1180" s="26"/>
      <c r="AJ1180" s="26"/>
      <c r="AK1180" s="26"/>
      <c r="AL1180" s="26"/>
      <c r="AM1180" s="26"/>
      <c r="AN1180" s="26"/>
      <c r="AO1180" s="26"/>
      <c r="AP1180" s="26"/>
      <c r="AQ1180" s="26"/>
      <c r="AR1180" s="26"/>
      <c r="AS1180" s="26"/>
      <c r="AT1180" s="26"/>
      <c r="AU1180" s="26"/>
      <c r="AV1180" s="26"/>
      <c r="AW1180" s="26"/>
      <c r="AX1180" s="26"/>
      <c r="AY1180" s="26"/>
    </row>
    <row r="1181" spans="2:51" x14ac:dyDescent="0.25">
      <c r="B1181" s="31"/>
      <c r="C1181" s="50"/>
      <c r="D1181" s="50"/>
      <c r="J1181" s="16"/>
      <c r="S1181" s="26"/>
      <c r="T1181" s="26"/>
      <c r="U1181" s="26"/>
      <c r="V1181" s="26"/>
      <c r="W1181" s="26"/>
      <c r="X1181" s="26"/>
      <c r="Y1181" s="26"/>
      <c r="Z1181" s="26"/>
      <c r="AA1181" s="26"/>
      <c r="AB1181" s="26"/>
      <c r="AC1181" s="26"/>
      <c r="AD1181" s="26"/>
      <c r="AE1181" s="26"/>
      <c r="AF1181" s="26"/>
      <c r="AG1181" s="26"/>
      <c r="AH1181" s="26"/>
      <c r="AI1181" s="26"/>
      <c r="AJ1181" s="26"/>
      <c r="AK1181" s="26"/>
      <c r="AL1181" s="26"/>
      <c r="AM1181" s="26"/>
      <c r="AN1181" s="26"/>
      <c r="AO1181" s="26"/>
      <c r="AP1181" s="26"/>
      <c r="AQ1181" s="26"/>
      <c r="AR1181" s="26"/>
      <c r="AS1181" s="26"/>
      <c r="AT1181" s="26"/>
      <c r="AU1181" s="26"/>
      <c r="AV1181" s="26"/>
      <c r="AW1181" s="26"/>
      <c r="AX1181" s="26"/>
      <c r="AY1181" s="26"/>
    </row>
    <row r="1182" spans="2:51" x14ac:dyDescent="0.25">
      <c r="B1182" s="59" t="s">
        <v>228</v>
      </c>
      <c r="C1182" s="50"/>
      <c r="D1182" s="50"/>
      <c r="J1182" s="16"/>
      <c r="S1182" s="26"/>
      <c r="T1182" s="26"/>
      <c r="U1182" s="26"/>
      <c r="V1182" s="26"/>
      <c r="W1182" s="26"/>
      <c r="X1182" s="26"/>
      <c r="Y1182" s="26"/>
      <c r="Z1182" s="26"/>
      <c r="AA1182" s="26"/>
      <c r="AB1182" s="26"/>
      <c r="AC1182" s="26"/>
      <c r="AD1182" s="26"/>
      <c r="AE1182" s="26"/>
      <c r="AF1182" s="26"/>
      <c r="AG1182" s="26"/>
      <c r="AH1182" s="26"/>
      <c r="AI1182" s="26"/>
      <c r="AJ1182" s="26"/>
      <c r="AK1182" s="26"/>
      <c r="AL1182" s="26"/>
      <c r="AM1182" s="26"/>
      <c r="AN1182" s="26"/>
      <c r="AO1182" s="26"/>
      <c r="AP1182" s="26"/>
      <c r="AQ1182" s="26"/>
      <c r="AR1182" s="26"/>
      <c r="AS1182" s="26"/>
      <c r="AT1182" s="26"/>
      <c r="AU1182" s="26"/>
      <c r="AV1182" s="26"/>
      <c r="AW1182" s="26"/>
      <c r="AX1182" s="26"/>
      <c r="AY1182" s="26"/>
    </row>
    <row r="1183" spans="2:51" x14ac:dyDescent="0.25">
      <c r="B1183" s="31"/>
      <c r="C1183" s="50"/>
      <c r="D1183" s="50"/>
      <c r="J1183" s="16"/>
      <c r="S1183" s="26"/>
      <c r="T1183" s="26"/>
      <c r="U1183" s="26"/>
      <c r="V1183" s="26"/>
      <c r="W1183" s="26"/>
      <c r="X1183" s="26"/>
      <c r="Y1183" s="26"/>
      <c r="Z1183" s="26"/>
      <c r="AA1183" s="26"/>
      <c r="AB1183" s="26"/>
      <c r="AC1183" s="26"/>
      <c r="AD1183" s="26"/>
      <c r="AE1183" s="26"/>
      <c r="AF1183" s="26"/>
      <c r="AG1183" s="26"/>
      <c r="AH1183" s="26"/>
      <c r="AI1183" s="26"/>
      <c r="AJ1183" s="26"/>
      <c r="AK1183" s="26"/>
      <c r="AL1183" s="26"/>
      <c r="AM1183" s="26"/>
      <c r="AN1183" s="26"/>
      <c r="AO1183" s="26"/>
      <c r="AP1183" s="26"/>
      <c r="AQ1183" s="26"/>
      <c r="AR1183" s="26"/>
      <c r="AS1183" s="26"/>
      <c r="AT1183" s="26"/>
      <c r="AU1183" s="26"/>
      <c r="AV1183" s="26"/>
      <c r="AW1183" s="26"/>
      <c r="AX1183" s="26"/>
      <c r="AY1183" s="26"/>
    </row>
    <row r="1184" spans="2:51" x14ac:dyDescent="0.25">
      <c r="B1184" s="31"/>
      <c r="C1184" s="50"/>
      <c r="D1184" s="50"/>
      <c r="J1184" s="16"/>
      <c r="S1184" s="26"/>
      <c r="T1184" s="26"/>
      <c r="U1184" s="26"/>
      <c r="V1184" s="26"/>
      <c r="W1184" s="26"/>
      <c r="X1184" s="26"/>
      <c r="Y1184" s="26"/>
      <c r="Z1184" s="26"/>
      <c r="AA1184" s="26"/>
      <c r="AB1184" s="26"/>
      <c r="AC1184" s="26"/>
      <c r="AD1184" s="26"/>
      <c r="AE1184" s="26"/>
      <c r="AF1184" s="26"/>
      <c r="AG1184" s="26"/>
      <c r="AH1184" s="26"/>
      <c r="AI1184" s="26"/>
      <c r="AJ1184" s="26"/>
      <c r="AK1184" s="26"/>
      <c r="AL1184" s="26"/>
      <c r="AM1184" s="26"/>
      <c r="AN1184" s="26"/>
      <c r="AO1184" s="26"/>
      <c r="AP1184" s="26"/>
      <c r="AQ1184" s="26"/>
      <c r="AR1184" s="26"/>
      <c r="AS1184" s="26"/>
      <c r="AT1184" s="26"/>
      <c r="AU1184" s="26"/>
      <c r="AV1184" s="26"/>
      <c r="AW1184" s="26"/>
      <c r="AX1184" s="26"/>
      <c r="AY1184" s="26"/>
    </row>
    <row r="1185" spans="2:51" x14ac:dyDescent="0.25">
      <c r="B1185" s="31"/>
      <c r="C1185" s="50"/>
      <c r="D1185" s="50"/>
      <c r="J1185" s="16"/>
      <c r="S1185" s="26"/>
      <c r="T1185" s="26"/>
      <c r="U1185" s="26"/>
      <c r="V1185" s="26"/>
      <c r="W1185" s="26"/>
      <c r="X1185" s="26"/>
      <c r="Y1185" s="26"/>
      <c r="Z1185" s="26"/>
      <c r="AA1185" s="26"/>
      <c r="AB1185" s="26"/>
      <c r="AC1185" s="26"/>
      <c r="AD1185" s="26"/>
      <c r="AE1185" s="26"/>
      <c r="AF1185" s="26"/>
      <c r="AG1185" s="26"/>
      <c r="AH1185" s="26"/>
      <c r="AI1185" s="26"/>
      <c r="AJ1185" s="26"/>
      <c r="AK1185" s="26"/>
      <c r="AL1185" s="26"/>
      <c r="AM1185" s="26"/>
      <c r="AN1185" s="26"/>
      <c r="AO1185" s="26"/>
      <c r="AP1185" s="26"/>
      <c r="AQ1185" s="26"/>
      <c r="AR1185" s="26"/>
      <c r="AS1185" s="26"/>
      <c r="AT1185" s="26"/>
      <c r="AU1185" s="26"/>
      <c r="AV1185" s="26"/>
      <c r="AW1185" s="26"/>
      <c r="AX1185" s="26"/>
      <c r="AY1185" s="26"/>
    </row>
    <row r="1186" spans="2:51" x14ac:dyDescent="0.25">
      <c r="B1186" s="31"/>
      <c r="C1186" s="50"/>
      <c r="D1186" s="50"/>
      <c r="J1186" s="16"/>
      <c r="S1186" s="26"/>
      <c r="T1186" s="26"/>
      <c r="U1186" s="26"/>
      <c r="V1186" s="26"/>
      <c r="W1186" s="26"/>
      <c r="X1186" s="26"/>
      <c r="Y1186" s="26"/>
      <c r="Z1186" s="26"/>
      <c r="AA1186" s="26"/>
      <c r="AB1186" s="26"/>
      <c r="AC1186" s="26"/>
      <c r="AD1186" s="26"/>
      <c r="AE1186" s="26"/>
      <c r="AF1186" s="26"/>
      <c r="AG1186" s="26"/>
      <c r="AH1186" s="26"/>
      <c r="AI1186" s="26"/>
      <c r="AJ1186" s="26"/>
      <c r="AK1186" s="26"/>
      <c r="AL1186" s="26"/>
      <c r="AM1186" s="26"/>
      <c r="AN1186" s="26"/>
      <c r="AO1186" s="26"/>
      <c r="AP1186" s="26"/>
      <c r="AQ1186" s="26"/>
      <c r="AR1186" s="26"/>
      <c r="AS1186" s="26"/>
      <c r="AT1186" s="26"/>
      <c r="AU1186" s="26"/>
      <c r="AV1186" s="26"/>
      <c r="AW1186" s="26"/>
      <c r="AX1186" s="26"/>
      <c r="AY1186" s="26"/>
    </row>
    <row r="1187" spans="2:51" x14ac:dyDescent="0.25">
      <c r="B1187" s="31"/>
      <c r="C1187" s="50"/>
      <c r="D1187" s="50"/>
      <c r="J1187" s="16"/>
      <c r="S1187" s="26"/>
      <c r="T1187" s="26"/>
      <c r="U1187" s="26"/>
      <c r="V1187" s="26"/>
      <c r="W1187" s="26"/>
      <c r="X1187" s="26"/>
      <c r="Y1187" s="26"/>
      <c r="Z1187" s="26"/>
      <c r="AA1187" s="26"/>
      <c r="AB1187" s="26"/>
      <c r="AC1187" s="26"/>
      <c r="AD1187" s="26"/>
      <c r="AE1187" s="26"/>
      <c r="AF1187" s="26"/>
      <c r="AG1187" s="26"/>
      <c r="AH1187" s="26"/>
      <c r="AI1187" s="26"/>
      <c r="AJ1187" s="26"/>
      <c r="AK1187" s="26"/>
      <c r="AL1187" s="26"/>
      <c r="AM1187" s="26"/>
      <c r="AN1187" s="26"/>
      <c r="AO1187" s="26"/>
      <c r="AP1187" s="26"/>
      <c r="AQ1187" s="26"/>
      <c r="AR1187" s="26"/>
      <c r="AS1187" s="26"/>
      <c r="AT1187" s="26"/>
      <c r="AU1187" s="26"/>
      <c r="AV1187" s="26"/>
      <c r="AW1187" s="26"/>
      <c r="AX1187" s="26"/>
      <c r="AY1187" s="26"/>
    </row>
    <row r="1188" spans="2:51" x14ac:dyDescent="0.25">
      <c r="B1188" s="31"/>
      <c r="C1188" s="50"/>
      <c r="D1188" s="50"/>
      <c r="J1188" s="16"/>
      <c r="S1188" s="26"/>
      <c r="T1188" s="26"/>
      <c r="U1188" s="26"/>
      <c r="V1188" s="26"/>
      <c r="W1188" s="26"/>
      <c r="X1188" s="26"/>
      <c r="Y1188" s="26"/>
      <c r="Z1188" s="26"/>
      <c r="AA1188" s="26"/>
      <c r="AB1188" s="26"/>
      <c r="AC1188" s="26"/>
      <c r="AD1188" s="26"/>
      <c r="AE1188" s="26"/>
      <c r="AF1188" s="26"/>
      <c r="AG1188" s="26"/>
      <c r="AH1188" s="26"/>
      <c r="AI1188" s="26"/>
      <c r="AJ1188" s="26"/>
      <c r="AK1188" s="26"/>
      <c r="AL1188" s="26"/>
      <c r="AM1188" s="26"/>
      <c r="AN1188" s="26"/>
      <c r="AO1188" s="26"/>
      <c r="AP1188" s="26"/>
      <c r="AQ1188" s="26"/>
      <c r="AR1188" s="26"/>
      <c r="AS1188" s="26"/>
      <c r="AT1188" s="26"/>
      <c r="AU1188" s="26"/>
      <c r="AV1188" s="26"/>
      <c r="AW1188" s="26"/>
      <c r="AX1188" s="26"/>
      <c r="AY1188" s="26"/>
    </row>
    <row r="1189" spans="2:51" x14ac:dyDescent="0.25">
      <c r="B1189" s="31"/>
      <c r="C1189" s="50"/>
      <c r="D1189" s="50"/>
      <c r="J1189" s="16"/>
      <c r="S1189" s="26"/>
      <c r="T1189" s="26"/>
      <c r="U1189" s="26"/>
      <c r="V1189" s="26"/>
      <c r="W1189" s="26"/>
      <c r="X1189" s="26"/>
      <c r="Y1189" s="26"/>
      <c r="Z1189" s="26"/>
      <c r="AA1189" s="26"/>
      <c r="AB1189" s="26"/>
      <c r="AC1189" s="26"/>
      <c r="AD1189" s="26"/>
      <c r="AE1189" s="26"/>
      <c r="AF1189" s="26"/>
      <c r="AG1189" s="26"/>
      <c r="AH1189" s="26"/>
      <c r="AI1189" s="26"/>
      <c r="AJ1189" s="26"/>
      <c r="AK1189" s="26"/>
      <c r="AL1189" s="26"/>
      <c r="AM1189" s="26"/>
      <c r="AN1189" s="26"/>
      <c r="AO1189" s="26"/>
      <c r="AP1189" s="26"/>
      <c r="AQ1189" s="26"/>
      <c r="AR1189" s="26"/>
      <c r="AS1189" s="26"/>
      <c r="AT1189" s="26"/>
      <c r="AU1189" s="26"/>
      <c r="AV1189" s="26"/>
      <c r="AW1189" s="26"/>
      <c r="AX1189" s="26"/>
      <c r="AY1189" s="26"/>
    </row>
    <row r="1190" spans="2:51" x14ac:dyDescent="0.25">
      <c r="B1190" s="31"/>
      <c r="C1190" s="50"/>
      <c r="D1190" s="50"/>
      <c r="J1190" s="16"/>
      <c r="S1190" s="26"/>
      <c r="T1190" s="26"/>
      <c r="U1190" s="26"/>
      <c r="V1190" s="26"/>
      <c r="W1190" s="26"/>
      <c r="X1190" s="26"/>
      <c r="Y1190" s="26"/>
      <c r="Z1190" s="26"/>
      <c r="AA1190" s="26"/>
      <c r="AB1190" s="26"/>
      <c r="AC1190" s="26"/>
      <c r="AD1190" s="26"/>
      <c r="AE1190" s="26"/>
      <c r="AF1190" s="26"/>
      <c r="AG1190" s="26"/>
      <c r="AH1190" s="26"/>
      <c r="AI1190" s="26"/>
      <c r="AJ1190" s="26"/>
      <c r="AK1190" s="26"/>
      <c r="AL1190" s="26"/>
      <c r="AM1190" s="26"/>
      <c r="AN1190" s="26"/>
      <c r="AO1190" s="26"/>
      <c r="AP1190" s="26"/>
      <c r="AQ1190" s="26"/>
      <c r="AR1190" s="26"/>
      <c r="AS1190" s="26"/>
      <c r="AT1190" s="26"/>
      <c r="AU1190" s="26"/>
      <c r="AV1190" s="26"/>
      <c r="AW1190" s="26"/>
      <c r="AX1190" s="26"/>
      <c r="AY1190" s="26"/>
    </row>
    <row r="1191" spans="2:51" x14ac:dyDescent="0.25">
      <c r="B1191" s="31"/>
      <c r="C1191" s="50"/>
      <c r="D1191" s="50"/>
      <c r="J1191" s="16"/>
      <c r="S1191" s="26"/>
      <c r="T1191" s="26"/>
      <c r="U1191" s="26"/>
      <c r="V1191" s="26"/>
      <c r="W1191" s="26"/>
      <c r="X1191" s="26"/>
      <c r="Y1191" s="26"/>
      <c r="Z1191" s="26"/>
      <c r="AA1191" s="26"/>
      <c r="AB1191" s="26"/>
      <c r="AC1191" s="26"/>
      <c r="AD1191" s="26"/>
      <c r="AE1191" s="26"/>
      <c r="AF1191" s="26"/>
      <c r="AG1191" s="26"/>
      <c r="AH1191" s="26"/>
      <c r="AI1191" s="26"/>
      <c r="AJ1191" s="26"/>
      <c r="AK1191" s="26"/>
      <c r="AL1191" s="26"/>
      <c r="AM1191" s="26"/>
      <c r="AN1191" s="26"/>
      <c r="AO1191" s="26"/>
      <c r="AP1191" s="26"/>
      <c r="AQ1191" s="26"/>
      <c r="AR1191" s="26"/>
      <c r="AS1191" s="26"/>
      <c r="AT1191" s="26"/>
      <c r="AU1191" s="26"/>
      <c r="AV1191" s="26"/>
      <c r="AW1191" s="26"/>
      <c r="AX1191" s="26"/>
      <c r="AY1191" s="26"/>
    </row>
    <row r="1192" spans="2:51" x14ac:dyDescent="0.25">
      <c r="B1192" s="31"/>
      <c r="C1192" s="50"/>
      <c r="D1192" s="50"/>
      <c r="J1192" s="16"/>
      <c r="S1192" s="26"/>
      <c r="T1192" s="26"/>
      <c r="U1192" s="26"/>
      <c r="V1192" s="26"/>
      <c r="W1192" s="26"/>
      <c r="X1192" s="26"/>
      <c r="Y1192" s="26"/>
      <c r="Z1192" s="26"/>
      <c r="AA1192" s="26"/>
      <c r="AB1192" s="26"/>
      <c r="AC1192" s="26"/>
      <c r="AD1192" s="26"/>
      <c r="AE1192" s="26"/>
      <c r="AF1192" s="26"/>
      <c r="AG1192" s="26"/>
      <c r="AH1192" s="26"/>
      <c r="AI1192" s="26"/>
      <c r="AJ1192" s="26"/>
      <c r="AK1192" s="26"/>
      <c r="AL1192" s="26"/>
      <c r="AM1192" s="26"/>
      <c r="AN1192" s="26"/>
      <c r="AO1192" s="26"/>
      <c r="AP1192" s="26"/>
      <c r="AQ1192" s="26"/>
      <c r="AR1192" s="26"/>
      <c r="AS1192" s="26"/>
      <c r="AT1192" s="26"/>
      <c r="AU1192" s="26"/>
      <c r="AV1192" s="26"/>
      <c r="AW1192" s="26"/>
      <c r="AX1192" s="26"/>
      <c r="AY1192" s="26"/>
    </row>
    <row r="1193" spans="2:51" x14ac:dyDescent="0.25">
      <c r="B1193" s="31"/>
      <c r="C1193" s="50"/>
      <c r="D1193" s="50"/>
      <c r="J1193" s="16"/>
      <c r="S1193" s="26"/>
      <c r="T1193" s="26"/>
      <c r="U1193" s="26"/>
      <c r="V1193" s="26"/>
      <c r="W1193" s="26"/>
      <c r="X1193" s="26"/>
      <c r="Y1193" s="26"/>
      <c r="Z1193" s="26"/>
      <c r="AA1193" s="26"/>
      <c r="AB1193" s="26"/>
      <c r="AC1193" s="26"/>
      <c r="AD1193" s="26"/>
      <c r="AE1193" s="26"/>
      <c r="AF1193" s="26"/>
      <c r="AG1193" s="26"/>
      <c r="AH1193" s="26"/>
      <c r="AI1193" s="26"/>
      <c r="AJ1193" s="26"/>
      <c r="AK1193" s="26"/>
      <c r="AL1193" s="26"/>
      <c r="AM1193" s="26"/>
      <c r="AN1193" s="26"/>
      <c r="AO1193" s="26"/>
      <c r="AP1193" s="26"/>
      <c r="AQ1193" s="26"/>
      <c r="AR1193" s="26"/>
      <c r="AS1193" s="26"/>
      <c r="AT1193" s="26"/>
      <c r="AU1193" s="26"/>
      <c r="AV1193" s="26"/>
      <c r="AW1193" s="26"/>
      <c r="AX1193" s="26"/>
      <c r="AY1193" s="26"/>
    </row>
    <row r="1194" spans="2:51" x14ac:dyDescent="0.25">
      <c r="B1194" s="31"/>
      <c r="C1194" s="50"/>
      <c r="D1194" s="50"/>
      <c r="J1194" s="16"/>
      <c r="S1194" s="26"/>
      <c r="T1194" s="26"/>
      <c r="U1194" s="26"/>
      <c r="V1194" s="26"/>
      <c r="W1194" s="26"/>
      <c r="X1194" s="26"/>
      <c r="Y1194" s="26"/>
      <c r="Z1194" s="26"/>
      <c r="AA1194" s="26"/>
      <c r="AB1194" s="26"/>
      <c r="AC1194" s="26"/>
      <c r="AD1194" s="26"/>
      <c r="AE1194" s="26"/>
      <c r="AF1194" s="26"/>
      <c r="AG1194" s="26"/>
      <c r="AH1194" s="26"/>
      <c r="AI1194" s="26"/>
      <c r="AJ1194" s="26"/>
      <c r="AK1194" s="26"/>
      <c r="AL1194" s="26"/>
      <c r="AM1194" s="26"/>
      <c r="AN1194" s="26"/>
      <c r="AO1194" s="26"/>
      <c r="AP1194" s="26"/>
      <c r="AQ1194" s="26"/>
      <c r="AR1194" s="26"/>
      <c r="AS1194" s="26"/>
      <c r="AT1194" s="26"/>
      <c r="AU1194" s="26"/>
      <c r="AV1194" s="26"/>
      <c r="AW1194" s="26"/>
      <c r="AX1194" s="26"/>
      <c r="AY1194" s="26"/>
    </row>
    <row r="1195" spans="2:51" x14ac:dyDescent="0.25">
      <c r="B1195" s="31"/>
      <c r="C1195" s="50"/>
      <c r="D1195" s="50"/>
      <c r="J1195" s="16"/>
      <c r="S1195" s="26"/>
      <c r="T1195" s="26"/>
      <c r="U1195" s="26"/>
      <c r="V1195" s="26"/>
      <c r="W1195" s="26"/>
      <c r="X1195" s="26"/>
      <c r="Y1195" s="26"/>
      <c r="Z1195" s="26"/>
      <c r="AA1195" s="26"/>
      <c r="AB1195" s="26"/>
      <c r="AC1195" s="26"/>
      <c r="AD1195" s="26"/>
      <c r="AE1195" s="26"/>
      <c r="AF1195" s="26"/>
      <c r="AG1195" s="26"/>
      <c r="AH1195" s="26"/>
      <c r="AI1195" s="26"/>
      <c r="AJ1195" s="26"/>
      <c r="AK1195" s="26"/>
      <c r="AL1195" s="26"/>
      <c r="AM1195" s="26"/>
      <c r="AN1195" s="26"/>
      <c r="AO1195" s="26"/>
      <c r="AP1195" s="26"/>
      <c r="AQ1195" s="26"/>
      <c r="AR1195" s="26"/>
      <c r="AS1195" s="26"/>
      <c r="AT1195" s="26"/>
      <c r="AU1195" s="26"/>
      <c r="AV1195" s="26"/>
      <c r="AW1195" s="26"/>
      <c r="AX1195" s="26"/>
      <c r="AY1195" s="26"/>
    </row>
    <row r="1196" spans="2:51" x14ac:dyDescent="0.25">
      <c r="B1196" s="31"/>
      <c r="C1196" s="50"/>
      <c r="D1196" s="50"/>
      <c r="J1196" s="16"/>
      <c r="S1196" s="26"/>
      <c r="T1196" s="26"/>
      <c r="U1196" s="26"/>
      <c r="V1196" s="26"/>
      <c r="W1196" s="26"/>
      <c r="X1196" s="26"/>
      <c r="Y1196" s="26"/>
      <c r="Z1196" s="26"/>
      <c r="AA1196" s="26"/>
      <c r="AB1196" s="26"/>
      <c r="AC1196" s="26"/>
      <c r="AD1196" s="26"/>
      <c r="AE1196" s="26"/>
      <c r="AF1196" s="26"/>
      <c r="AG1196" s="26"/>
      <c r="AH1196" s="26"/>
      <c r="AI1196" s="26"/>
      <c r="AJ1196" s="26"/>
      <c r="AK1196" s="26"/>
      <c r="AL1196" s="26"/>
      <c r="AM1196" s="26"/>
      <c r="AN1196" s="26"/>
      <c r="AO1196" s="26"/>
      <c r="AP1196" s="26"/>
      <c r="AQ1196" s="26"/>
      <c r="AR1196" s="26"/>
      <c r="AS1196" s="26"/>
      <c r="AT1196" s="26"/>
      <c r="AU1196" s="26"/>
      <c r="AV1196" s="26"/>
      <c r="AW1196" s="26"/>
      <c r="AX1196" s="26"/>
      <c r="AY1196" s="26"/>
    </row>
    <row r="1197" spans="2:51" x14ac:dyDescent="0.25">
      <c r="B1197" s="31"/>
      <c r="C1197" s="50"/>
      <c r="D1197" s="50"/>
      <c r="J1197" s="16"/>
      <c r="S1197" s="26"/>
      <c r="T1197" s="26"/>
      <c r="U1197" s="26"/>
      <c r="V1197" s="26"/>
      <c r="W1197" s="26"/>
      <c r="X1197" s="26"/>
      <c r="Y1197" s="26"/>
      <c r="Z1197" s="26"/>
      <c r="AA1197" s="26"/>
      <c r="AB1197" s="26"/>
      <c r="AC1197" s="26"/>
      <c r="AD1197" s="26"/>
      <c r="AE1197" s="26"/>
      <c r="AF1197" s="26"/>
      <c r="AG1197" s="26"/>
      <c r="AH1197" s="26"/>
      <c r="AI1197" s="26"/>
      <c r="AJ1197" s="26"/>
      <c r="AK1197" s="26"/>
      <c r="AL1197" s="26"/>
      <c r="AM1197" s="26"/>
      <c r="AN1197" s="26"/>
      <c r="AO1197" s="26"/>
      <c r="AP1197" s="26"/>
      <c r="AQ1197" s="26"/>
      <c r="AR1197" s="26"/>
      <c r="AS1197" s="26"/>
      <c r="AT1197" s="26"/>
      <c r="AU1197" s="26"/>
      <c r="AV1197" s="26"/>
      <c r="AW1197" s="26"/>
      <c r="AX1197" s="26"/>
      <c r="AY1197" s="26"/>
    </row>
    <row r="1198" spans="2:51" x14ac:dyDescent="0.25">
      <c r="B1198" s="31"/>
      <c r="C1198" s="50"/>
      <c r="D1198" s="50"/>
      <c r="J1198" s="16"/>
      <c r="S1198" s="26"/>
      <c r="T1198" s="26"/>
      <c r="U1198" s="26"/>
      <c r="V1198" s="26"/>
      <c r="W1198" s="26"/>
      <c r="X1198" s="26"/>
      <c r="Y1198" s="26"/>
      <c r="Z1198" s="26"/>
      <c r="AA1198" s="26"/>
      <c r="AB1198" s="26"/>
      <c r="AC1198" s="26"/>
      <c r="AD1198" s="26"/>
      <c r="AE1198" s="26"/>
      <c r="AF1198" s="26"/>
      <c r="AG1198" s="26"/>
      <c r="AH1198" s="26"/>
      <c r="AI1198" s="26"/>
      <c r="AJ1198" s="26"/>
      <c r="AK1198" s="26"/>
      <c r="AL1198" s="26"/>
      <c r="AM1198" s="26"/>
      <c r="AN1198" s="26"/>
      <c r="AO1198" s="26"/>
      <c r="AP1198" s="26"/>
      <c r="AQ1198" s="26"/>
      <c r="AR1198" s="26"/>
      <c r="AS1198" s="26"/>
      <c r="AT1198" s="26"/>
      <c r="AU1198" s="26"/>
      <c r="AV1198" s="26"/>
      <c r="AW1198" s="26"/>
      <c r="AX1198" s="26"/>
      <c r="AY1198" s="26"/>
    </row>
    <row r="1199" spans="2:51" x14ac:dyDescent="0.25">
      <c r="B1199" s="31"/>
      <c r="C1199" s="50"/>
      <c r="D1199" s="50"/>
      <c r="J1199" s="16"/>
      <c r="S1199" s="26"/>
      <c r="T1199" s="26"/>
      <c r="U1199" s="26"/>
      <c r="V1199" s="26"/>
      <c r="W1199" s="26"/>
      <c r="X1199" s="26"/>
      <c r="Y1199" s="26"/>
      <c r="Z1199" s="26"/>
      <c r="AA1199" s="26"/>
      <c r="AB1199" s="26"/>
      <c r="AC1199" s="26"/>
      <c r="AD1199" s="26"/>
      <c r="AE1199" s="26"/>
      <c r="AF1199" s="26"/>
      <c r="AG1199" s="26"/>
      <c r="AH1199" s="26"/>
      <c r="AI1199" s="26"/>
      <c r="AJ1199" s="26"/>
      <c r="AK1199" s="26"/>
      <c r="AL1199" s="26"/>
      <c r="AM1199" s="26"/>
      <c r="AN1199" s="26"/>
      <c r="AO1199" s="26"/>
      <c r="AP1199" s="26"/>
      <c r="AQ1199" s="26"/>
      <c r="AR1199" s="26"/>
      <c r="AS1199" s="26"/>
      <c r="AT1199" s="26"/>
      <c r="AU1199" s="26"/>
      <c r="AV1199" s="26"/>
      <c r="AW1199" s="26"/>
      <c r="AX1199" s="26"/>
      <c r="AY1199" s="26"/>
    </row>
    <row r="1200" spans="2:51" x14ac:dyDescent="0.25">
      <c r="B1200" s="31"/>
      <c r="C1200" s="50"/>
      <c r="D1200" s="50"/>
      <c r="J1200" s="16"/>
      <c r="S1200" s="26"/>
      <c r="T1200" s="26"/>
      <c r="U1200" s="26"/>
      <c r="V1200" s="26"/>
      <c r="W1200" s="26"/>
      <c r="X1200" s="26"/>
      <c r="Y1200" s="26"/>
      <c r="Z1200" s="26"/>
      <c r="AA1200" s="26"/>
      <c r="AB1200" s="26"/>
      <c r="AC1200" s="26"/>
      <c r="AD1200" s="26"/>
      <c r="AE1200" s="26"/>
      <c r="AF1200" s="26"/>
      <c r="AG1200" s="26"/>
      <c r="AH1200" s="26"/>
      <c r="AI1200" s="26"/>
      <c r="AJ1200" s="26"/>
      <c r="AK1200" s="26"/>
      <c r="AL1200" s="26"/>
      <c r="AM1200" s="26"/>
      <c r="AN1200" s="26"/>
      <c r="AO1200" s="26"/>
      <c r="AP1200" s="26"/>
      <c r="AQ1200" s="26"/>
      <c r="AR1200" s="26"/>
      <c r="AS1200" s="26"/>
      <c r="AT1200" s="26"/>
      <c r="AU1200" s="26"/>
      <c r="AV1200" s="26"/>
      <c r="AW1200" s="26"/>
      <c r="AX1200" s="26"/>
      <c r="AY1200" s="26"/>
    </row>
    <row r="1201" spans="1:51" x14ac:dyDescent="0.25">
      <c r="B1201" s="31"/>
      <c r="C1201" s="50"/>
      <c r="D1201" s="50"/>
      <c r="J1201" s="16"/>
      <c r="S1201" s="26"/>
      <c r="T1201" s="26"/>
      <c r="U1201" s="26"/>
      <c r="V1201" s="26"/>
      <c r="W1201" s="26"/>
      <c r="X1201" s="26"/>
      <c r="Y1201" s="26"/>
      <c r="Z1201" s="26"/>
      <c r="AA1201" s="26"/>
      <c r="AB1201" s="26"/>
      <c r="AC1201" s="26"/>
      <c r="AD1201" s="26"/>
      <c r="AE1201" s="26"/>
      <c r="AF1201" s="26"/>
      <c r="AG1201" s="26"/>
      <c r="AH1201" s="26"/>
      <c r="AI1201" s="26"/>
      <c r="AJ1201" s="26"/>
      <c r="AK1201" s="26"/>
      <c r="AL1201" s="26"/>
      <c r="AM1201" s="26"/>
      <c r="AN1201" s="26"/>
      <c r="AO1201" s="26"/>
      <c r="AP1201" s="26"/>
      <c r="AQ1201" s="26"/>
      <c r="AR1201" s="26"/>
      <c r="AS1201" s="26"/>
      <c r="AT1201" s="26"/>
      <c r="AU1201" s="26"/>
      <c r="AV1201" s="26"/>
      <c r="AW1201" s="26"/>
      <c r="AX1201" s="26"/>
      <c r="AY1201" s="26"/>
    </row>
    <row r="1202" spans="1:51" x14ac:dyDescent="0.25">
      <c r="B1202" s="31"/>
      <c r="C1202" s="50"/>
      <c r="D1202" s="50"/>
      <c r="J1202" s="16"/>
      <c r="S1202" s="26"/>
      <c r="T1202" s="26"/>
      <c r="U1202" s="26"/>
      <c r="V1202" s="26"/>
      <c r="W1202" s="26"/>
      <c r="X1202" s="26"/>
      <c r="Y1202" s="26"/>
      <c r="Z1202" s="26"/>
      <c r="AA1202" s="26"/>
      <c r="AB1202" s="26"/>
      <c r="AC1202" s="26"/>
      <c r="AD1202" s="26"/>
      <c r="AE1202" s="26"/>
      <c r="AF1202" s="26"/>
      <c r="AG1202" s="26"/>
      <c r="AH1202" s="26"/>
      <c r="AI1202" s="26"/>
      <c r="AJ1202" s="26"/>
      <c r="AK1202" s="26"/>
      <c r="AL1202" s="26"/>
      <c r="AM1202" s="26"/>
      <c r="AN1202" s="26"/>
      <c r="AO1202" s="26"/>
      <c r="AP1202" s="26"/>
      <c r="AQ1202" s="26"/>
      <c r="AR1202" s="26"/>
      <c r="AS1202" s="26"/>
      <c r="AT1202" s="26"/>
      <c r="AU1202" s="26"/>
      <c r="AV1202" s="26"/>
      <c r="AW1202" s="26"/>
      <c r="AX1202" s="26"/>
      <c r="AY1202" s="26"/>
    </row>
    <row r="1203" spans="1:51" x14ac:dyDescent="0.25">
      <c r="C1203" s="50"/>
      <c r="D1203" s="50"/>
      <c r="J1203" s="16"/>
      <c r="S1203" s="26"/>
      <c r="T1203" s="26"/>
      <c r="U1203" s="26"/>
      <c r="V1203" s="26"/>
      <c r="W1203" s="26"/>
      <c r="X1203" s="26"/>
      <c r="Y1203" s="26"/>
      <c r="Z1203" s="26"/>
      <c r="AA1203" s="26"/>
      <c r="AB1203" s="26"/>
      <c r="AC1203" s="26"/>
      <c r="AD1203" s="26"/>
      <c r="AE1203" s="26"/>
      <c r="AF1203" s="26"/>
      <c r="AG1203" s="26"/>
      <c r="AH1203" s="26"/>
      <c r="AI1203" s="26"/>
      <c r="AJ1203" s="26"/>
      <c r="AK1203" s="26"/>
      <c r="AL1203" s="26"/>
      <c r="AM1203" s="26"/>
      <c r="AN1203" s="26"/>
      <c r="AO1203" s="26"/>
      <c r="AP1203" s="26"/>
      <c r="AQ1203" s="26"/>
      <c r="AR1203" s="26"/>
      <c r="AS1203" s="26"/>
      <c r="AT1203" s="26"/>
      <c r="AU1203" s="26"/>
      <c r="AV1203" s="26"/>
      <c r="AW1203" s="26"/>
      <c r="AX1203" s="26"/>
      <c r="AY1203" s="26"/>
    </row>
    <row r="1204" spans="1:51" x14ac:dyDescent="0.25">
      <c r="C1204" s="50"/>
      <c r="D1204" s="50"/>
      <c r="J1204" s="16"/>
      <c r="S1204" s="26"/>
      <c r="T1204" s="26"/>
      <c r="U1204" s="26"/>
      <c r="V1204" s="26"/>
      <c r="W1204" s="26"/>
      <c r="X1204" s="26"/>
      <c r="Y1204" s="26"/>
      <c r="Z1204" s="26"/>
      <c r="AA1204" s="26"/>
      <c r="AB1204" s="26"/>
      <c r="AC1204" s="26"/>
      <c r="AD1204" s="26"/>
      <c r="AE1204" s="26"/>
      <c r="AF1204" s="26"/>
      <c r="AG1204" s="26"/>
      <c r="AH1204" s="26"/>
      <c r="AI1204" s="26"/>
      <c r="AJ1204" s="26"/>
      <c r="AK1204" s="26"/>
      <c r="AL1204" s="26"/>
      <c r="AM1204" s="26"/>
      <c r="AN1204" s="26"/>
      <c r="AO1204" s="26"/>
      <c r="AP1204" s="26"/>
      <c r="AQ1204" s="26"/>
      <c r="AR1204" s="26"/>
      <c r="AS1204" s="26"/>
      <c r="AT1204" s="26"/>
      <c r="AU1204" s="26"/>
      <c r="AV1204" s="26"/>
      <c r="AW1204" s="26"/>
      <c r="AX1204" s="26"/>
      <c r="AY1204" s="26"/>
    </row>
    <row r="1205" spans="1:51" x14ac:dyDescent="0.25">
      <c r="B1205" s="31"/>
      <c r="C1205" s="50"/>
      <c r="D1205" s="50"/>
      <c r="J1205" s="16"/>
      <c r="S1205" s="26"/>
      <c r="T1205" s="26"/>
      <c r="U1205" s="26"/>
      <c r="V1205" s="26"/>
      <c r="W1205" s="26"/>
      <c r="X1205" s="26"/>
      <c r="Y1205" s="26"/>
      <c r="Z1205" s="26"/>
      <c r="AA1205" s="26"/>
      <c r="AB1205" s="26"/>
      <c r="AC1205" s="26"/>
      <c r="AD1205" s="26"/>
      <c r="AE1205" s="26"/>
      <c r="AF1205" s="26"/>
      <c r="AG1205" s="26"/>
      <c r="AH1205" s="26"/>
      <c r="AI1205" s="26"/>
      <c r="AJ1205" s="26"/>
      <c r="AK1205" s="26"/>
      <c r="AL1205" s="26"/>
      <c r="AM1205" s="26"/>
      <c r="AN1205" s="26"/>
      <c r="AO1205" s="26"/>
      <c r="AP1205" s="26"/>
      <c r="AQ1205" s="26"/>
      <c r="AR1205" s="26"/>
      <c r="AS1205" s="26"/>
      <c r="AT1205" s="26"/>
      <c r="AU1205" s="26"/>
      <c r="AV1205" s="26"/>
      <c r="AW1205" s="26"/>
      <c r="AX1205" s="26"/>
      <c r="AY1205" s="26"/>
    </row>
    <row r="1206" spans="1:51" x14ac:dyDescent="0.25">
      <c r="C1206" s="50"/>
      <c r="D1206" s="50"/>
      <c r="J1206" s="16"/>
      <c r="S1206" s="26"/>
      <c r="T1206" s="26"/>
      <c r="U1206" s="26"/>
      <c r="V1206" s="26"/>
      <c r="W1206" s="26"/>
      <c r="X1206" s="26"/>
      <c r="Y1206" s="26"/>
      <c r="Z1206" s="26"/>
      <c r="AA1206" s="26"/>
      <c r="AB1206" s="26"/>
      <c r="AC1206" s="26"/>
      <c r="AD1206" s="26"/>
      <c r="AE1206" s="26"/>
      <c r="AF1206" s="26"/>
      <c r="AG1206" s="26"/>
      <c r="AH1206" s="26"/>
      <c r="AI1206" s="26"/>
      <c r="AJ1206" s="26"/>
      <c r="AK1206" s="26"/>
      <c r="AL1206" s="26"/>
      <c r="AM1206" s="26"/>
      <c r="AN1206" s="26"/>
      <c r="AO1206" s="26"/>
      <c r="AP1206" s="26"/>
      <c r="AQ1206" s="26"/>
      <c r="AR1206" s="26"/>
      <c r="AS1206" s="26"/>
      <c r="AT1206" s="26"/>
      <c r="AU1206" s="26"/>
      <c r="AV1206" s="26"/>
      <c r="AW1206" s="26"/>
      <c r="AX1206" s="26"/>
      <c r="AY1206" s="26"/>
    </row>
    <row r="1207" spans="1:51" x14ac:dyDescent="0.25">
      <c r="B1207" s="31"/>
      <c r="C1207" s="50"/>
      <c r="D1207" s="50"/>
      <c r="J1207" s="16"/>
      <c r="S1207" s="26"/>
      <c r="T1207" s="26"/>
      <c r="U1207" s="26"/>
      <c r="V1207" s="26"/>
      <c r="W1207" s="26"/>
      <c r="X1207" s="26"/>
      <c r="Y1207" s="26"/>
      <c r="Z1207" s="26"/>
      <c r="AA1207" s="26"/>
      <c r="AB1207" s="26"/>
      <c r="AC1207" s="26"/>
      <c r="AD1207" s="26"/>
      <c r="AE1207" s="26"/>
      <c r="AF1207" s="26"/>
      <c r="AG1207" s="26"/>
      <c r="AH1207" s="26"/>
      <c r="AI1207" s="26"/>
      <c r="AJ1207" s="26"/>
      <c r="AK1207" s="26"/>
      <c r="AL1207" s="26"/>
      <c r="AM1207" s="26"/>
      <c r="AN1207" s="26"/>
      <c r="AO1207" s="26"/>
      <c r="AP1207" s="26"/>
      <c r="AQ1207" s="26"/>
      <c r="AR1207" s="26"/>
      <c r="AS1207" s="26"/>
      <c r="AT1207" s="26"/>
      <c r="AU1207" s="26"/>
      <c r="AV1207" s="26"/>
      <c r="AW1207" s="26"/>
      <c r="AX1207" s="26"/>
      <c r="AY1207" s="26"/>
    </row>
    <row r="1208" spans="1:51" x14ac:dyDescent="0.25">
      <c r="S1208" s="26"/>
      <c r="T1208" s="26"/>
      <c r="U1208" s="26"/>
      <c r="V1208" s="26"/>
      <c r="W1208" s="26"/>
      <c r="X1208" s="26"/>
      <c r="Y1208" s="26"/>
      <c r="Z1208" s="26"/>
      <c r="AA1208" s="26"/>
      <c r="AB1208" s="26"/>
      <c r="AC1208" s="26"/>
      <c r="AD1208" s="26"/>
      <c r="AE1208" s="26"/>
      <c r="AF1208" s="26"/>
      <c r="AG1208" s="26"/>
      <c r="AH1208" s="26"/>
      <c r="AI1208" s="26"/>
      <c r="AJ1208" s="26"/>
      <c r="AK1208" s="26"/>
      <c r="AL1208" s="26"/>
      <c r="AM1208" s="26"/>
      <c r="AN1208" s="26"/>
      <c r="AO1208" s="26"/>
      <c r="AP1208" s="26"/>
      <c r="AQ1208" s="26"/>
      <c r="AR1208" s="26"/>
      <c r="AS1208" s="26"/>
      <c r="AT1208" s="26"/>
      <c r="AU1208" s="26"/>
      <c r="AV1208" s="26"/>
      <c r="AW1208" s="26"/>
      <c r="AX1208" s="26"/>
      <c r="AY1208" s="26"/>
    </row>
    <row r="1209" spans="1:51" x14ac:dyDescent="0.25">
      <c r="S1209" s="26"/>
      <c r="T1209" s="26"/>
      <c r="U1209" s="26"/>
      <c r="V1209" s="26"/>
      <c r="W1209" s="26"/>
      <c r="X1209" s="26"/>
      <c r="Y1209" s="26"/>
      <c r="Z1209" s="26"/>
      <c r="AA1209" s="26"/>
      <c r="AB1209" s="26"/>
      <c r="AC1209" s="26"/>
      <c r="AD1209" s="26"/>
      <c r="AE1209" s="26"/>
      <c r="AF1209" s="26"/>
      <c r="AG1209" s="26"/>
      <c r="AH1209" s="26"/>
      <c r="AI1209" s="26"/>
      <c r="AJ1209" s="26"/>
      <c r="AK1209" s="26"/>
      <c r="AL1209" s="26"/>
      <c r="AM1209" s="26"/>
      <c r="AN1209" s="26"/>
      <c r="AO1209" s="26"/>
      <c r="AP1209" s="26"/>
      <c r="AQ1209" s="26"/>
      <c r="AR1209" s="26"/>
      <c r="AS1209" s="26"/>
      <c r="AT1209" s="26"/>
      <c r="AU1209" s="26"/>
      <c r="AV1209" s="26"/>
      <c r="AW1209" s="26"/>
      <c r="AX1209" s="26"/>
      <c r="AY1209" s="26"/>
    </row>
    <row r="1210" spans="1:51" ht="12.75" customHeight="1" x14ac:dyDescent="0.25">
      <c r="A1210" s="26"/>
      <c r="B1210" s="66"/>
      <c r="C1210" s="67"/>
      <c r="D1210" s="67"/>
      <c r="E1210" s="26"/>
      <c r="F1210" s="26"/>
      <c r="G1210" s="26"/>
      <c r="H1210" s="26"/>
      <c r="I1210" s="26"/>
      <c r="J1210" s="26"/>
      <c r="K1210" s="26"/>
      <c r="L1210" s="26"/>
      <c r="M1210" s="26"/>
      <c r="N1210" s="26"/>
      <c r="O1210" s="26"/>
      <c r="P1210" s="26"/>
      <c r="Q1210" s="26"/>
      <c r="R1210" s="26"/>
      <c r="S1210" s="26"/>
      <c r="T1210" s="26"/>
      <c r="U1210" s="26"/>
      <c r="V1210" s="26"/>
      <c r="W1210" s="26"/>
      <c r="X1210" s="26"/>
      <c r="Y1210" s="26"/>
      <c r="Z1210" s="26"/>
      <c r="AA1210" s="26"/>
      <c r="AB1210" s="26"/>
      <c r="AC1210" s="26"/>
      <c r="AD1210" s="26"/>
      <c r="AE1210" s="26"/>
      <c r="AF1210" s="26"/>
      <c r="AG1210" s="26"/>
      <c r="AH1210" s="26"/>
      <c r="AI1210" s="26"/>
      <c r="AJ1210" s="26"/>
      <c r="AK1210" s="26"/>
      <c r="AL1210" s="26"/>
      <c r="AM1210" s="26"/>
      <c r="AN1210" s="26"/>
      <c r="AO1210" s="26"/>
      <c r="AP1210" s="26"/>
      <c r="AQ1210" s="26"/>
      <c r="AR1210" s="26"/>
      <c r="AS1210" s="26"/>
      <c r="AT1210" s="26"/>
      <c r="AU1210" s="26"/>
      <c r="AV1210" s="26"/>
      <c r="AW1210" s="26"/>
      <c r="AX1210" s="26"/>
      <c r="AY1210" s="26"/>
    </row>
    <row r="1211" spans="1:51" ht="12.75" customHeight="1" x14ac:dyDescent="0.25">
      <c r="A1211" s="26"/>
      <c r="B1211" s="66"/>
      <c r="C1211" s="67"/>
      <c r="D1211" s="67"/>
      <c r="E1211" s="26"/>
      <c r="F1211" s="26"/>
      <c r="G1211" s="26"/>
      <c r="H1211" s="26"/>
      <c r="I1211" s="26"/>
      <c r="J1211" s="26"/>
      <c r="K1211" s="26"/>
      <c r="L1211" s="26"/>
      <c r="M1211" s="26"/>
      <c r="N1211" s="26"/>
      <c r="O1211" s="26"/>
      <c r="P1211" s="26"/>
      <c r="Q1211" s="26"/>
      <c r="R1211" s="26"/>
      <c r="S1211" s="26"/>
      <c r="T1211" s="26"/>
      <c r="U1211" s="26"/>
      <c r="V1211" s="26"/>
      <c r="W1211" s="26"/>
      <c r="X1211" s="26"/>
      <c r="Y1211" s="26"/>
      <c r="Z1211" s="26"/>
      <c r="AA1211" s="26"/>
      <c r="AB1211" s="26"/>
      <c r="AC1211" s="26"/>
      <c r="AD1211" s="26"/>
      <c r="AE1211" s="26"/>
      <c r="AF1211" s="26"/>
      <c r="AG1211" s="26"/>
      <c r="AH1211" s="26"/>
      <c r="AI1211" s="26"/>
      <c r="AJ1211" s="26"/>
      <c r="AK1211" s="26"/>
      <c r="AL1211" s="26"/>
      <c r="AM1211" s="26"/>
      <c r="AN1211" s="26"/>
      <c r="AO1211" s="26"/>
      <c r="AP1211" s="26"/>
      <c r="AQ1211" s="26"/>
      <c r="AR1211" s="26"/>
      <c r="AS1211" s="26"/>
      <c r="AT1211" s="26"/>
      <c r="AU1211" s="26"/>
      <c r="AV1211" s="26"/>
      <c r="AW1211" s="26"/>
      <c r="AX1211" s="26"/>
      <c r="AY1211" s="26"/>
    </row>
    <row r="1212" spans="1:51" ht="12.75" customHeight="1" x14ac:dyDescent="0.25">
      <c r="A1212" s="26"/>
      <c r="B1212" s="66"/>
      <c r="C1212" s="67"/>
      <c r="D1212" s="67"/>
      <c r="E1212" s="26"/>
      <c r="F1212" s="26"/>
      <c r="G1212" s="26"/>
      <c r="H1212" s="26"/>
      <c r="I1212" s="26"/>
      <c r="J1212" s="26"/>
      <c r="K1212" s="26"/>
      <c r="L1212" s="26"/>
      <c r="M1212" s="26"/>
      <c r="N1212" s="26"/>
      <c r="O1212" s="26"/>
      <c r="P1212" s="26"/>
      <c r="Q1212" s="26"/>
      <c r="R1212" s="26"/>
      <c r="S1212" s="26"/>
      <c r="T1212" s="26"/>
      <c r="U1212" s="26"/>
      <c r="V1212" s="26"/>
      <c r="W1212" s="26"/>
      <c r="X1212" s="26"/>
      <c r="Y1212" s="26"/>
      <c r="Z1212" s="26"/>
      <c r="AA1212" s="26"/>
      <c r="AB1212" s="26"/>
      <c r="AC1212" s="26"/>
      <c r="AD1212" s="26"/>
      <c r="AE1212" s="26"/>
      <c r="AF1212" s="26"/>
      <c r="AG1212" s="26"/>
      <c r="AH1212" s="26"/>
      <c r="AI1212" s="26"/>
      <c r="AJ1212" s="26"/>
      <c r="AK1212" s="26"/>
      <c r="AL1212" s="26"/>
      <c r="AM1212" s="26"/>
      <c r="AN1212" s="26"/>
      <c r="AO1212" s="26"/>
      <c r="AP1212" s="26"/>
      <c r="AQ1212" s="26"/>
      <c r="AR1212" s="26"/>
      <c r="AS1212" s="26"/>
      <c r="AT1212" s="26"/>
      <c r="AU1212" s="26"/>
      <c r="AV1212" s="26"/>
      <c r="AW1212" s="26"/>
      <c r="AX1212" s="26"/>
      <c r="AY1212" s="26"/>
    </row>
    <row r="1213" spans="1:51" ht="12.75" customHeight="1" x14ac:dyDescent="0.25">
      <c r="A1213" s="26"/>
      <c r="B1213" s="66"/>
      <c r="C1213" s="67"/>
      <c r="D1213" s="67"/>
      <c r="E1213" s="26"/>
      <c r="F1213" s="26"/>
      <c r="G1213" s="26"/>
      <c r="H1213" s="26"/>
      <c r="I1213" s="26"/>
      <c r="J1213" s="26"/>
      <c r="K1213" s="26"/>
      <c r="L1213" s="26"/>
      <c r="M1213" s="26"/>
      <c r="N1213" s="26"/>
      <c r="O1213" s="26"/>
      <c r="P1213" s="26"/>
      <c r="Q1213" s="26"/>
      <c r="R1213" s="26"/>
      <c r="S1213" s="26"/>
      <c r="T1213" s="26"/>
      <c r="U1213" s="26"/>
      <c r="V1213" s="26"/>
      <c r="W1213" s="26"/>
      <c r="X1213" s="26"/>
      <c r="Y1213" s="26"/>
      <c r="Z1213" s="26"/>
      <c r="AA1213" s="26"/>
      <c r="AB1213" s="26"/>
      <c r="AC1213" s="26"/>
      <c r="AD1213" s="26"/>
      <c r="AE1213" s="26"/>
      <c r="AF1213" s="26"/>
      <c r="AG1213" s="26"/>
      <c r="AH1213" s="26"/>
      <c r="AI1213" s="26"/>
      <c r="AJ1213" s="26"/>
      <c r="AK1213" s="26"/>
      <c r="AL1213" s="26"/>
      <c r="AM1213" s="26"/>
      <c r="AN1213" s="26"/>
      <c r="AO1213" s="26"/>
      <c r="AP1213" s="26"/>
      <c r="AQ1213" s="26"/>
      <c r="AR1213" s="26"/>
      <c r="AS1213" s="26"/>
      <c r="AT1213" s="26"/>
      <c r="AU1213" s="26"/>
      <c r="AV1213" s="26"/>
      <c r="AW1213" s="26"/>
      <c r="AX1213" s="26"/>
      <c r="AY1213" s="26"/>
    </row>
    <row r="1214" spans="1:51" ht="12.75" customHeight="1" x14ac:dyDescent="0.25">
      <c r="A1214" s="26"/>
      <c r="B1214" s="66"/>
      <c r="C1214" s="67"/>
      <c r="D1214" s="67"/>
      <c r="E1214" s="26"/>
      <c r="F1214" s="26"/>
      <c r="G1214" s="26"/>
      <c r="H1214" s="26"/>
      <c r="I1214" s="26"/>
      <c r="J1214" s="26"/>
      <c r="K1214" s="26"/>
      <c r="L1214" s="26"/>
      <c r="M1214" s="26"/>
      <c r="N1214" s="26"/>
      <c r="O1214" s="26"/>
      <c r="P1214" s="26"/>
      <c r="Q1214" s="26"/>
      <c r="R1214" s="26"/>
      <c r="S1214" s="26"/>
      <c r="T1214" s="26"/>
      <c r="U1214" s="26"/>
      <c r="V1214" s="26"/>
      <c r="W1214" s="26"/>
      <c r="X1214" s="26"/>
      <c r="Y1214" s="26"/>
      <c r="Z1214" s="26"/>
      <c r="AA1214" s="26"/>
      <c r="AB1214" s="26"/>
      <c r="AC1214" s="26"/>
      <c r="AD1214" s="26"/>
      <c r="AE1214" s="26"/>
      <c r="AF1214" s="26"/>
      <c r="AG1214" s="26"/>
      <c r="AH1214" s="26"/>
      <c r="AI1214" s="26"/>
      <c r="AJ1214" s="26"/>
      <c r="AK1214" s="26"/>
      <c r="AL1214" s="26"/>
      <c r="AM1214" s="26"/>
      <c r="AN1214" s="26"/>
      <c r="AO1214" s="26"/>
      <c r="AP1214" s="26"/>
      <c r="AQ1214" s="26"/>
      <c r="AR1214" s="26"/>
      <c r="AS1214" s="26"/>
      <c r="AT1214" s="26"/>
      <c r="AU1214" s="26"/>
      <c r="AV1214" s="26"/>
      <c r="AW1214" s="26"/>
      <c r="AX1214" s="26"/>
      <c r="AY1214" s="26"/>
    </row>
    <row r="1215" spans="1:51" ht="12.75" customHeight="1" x14ac:dyDescent="0.25">
      <c r="A1215" s="26"/>
      <c r="B1215" s="66"/>
      <c r="C1215" s="67"/>
      <c r="D1215" s="67"/>
      <c r="E1215" s="26"/>
      <c r="F1215" s="26"/>
      <c r="G1215" s="26"/>
      <c r="H1215" s="26"/>
      <c r="I1215" s="26"/>
      <c r="J1215" s="26"/>
      <c r="K1215" s="26"/>
      <c r="L1215" s="26"/>
      <c r="M1215" s="26"/>
      <c r="N1215" s="26"/>
      <c r="O1215" s="26"/>
      <c r="P1215" s="26"/>
      <c r="Q1215" s="26"/>
      <c r="R1215" s="26"/>
      <c r="S1215" s="26"/>
      <c r="T1215" s="26"/>
      <c r="U1215" s="26"/>
      <c r="V1215" s="26"/>
      <c r="W1215" s="26"/>
      <c r="X1215" s="26"/>
      <c r="Y1215" s="26"/>
      <c r="Z1215" s="26"/>
      <c r="AA1215" s="26"/>
      <c r="AB1215" s="26"/>
      <c r="AC1215" s="26"/>
      <c r="AD1215" s="26"/>
      <c r="AE1215" s="26"/>
      <c r="AF1215" s="26"/>
      <c r="AG1215" s="26"/>
      <c r="AH1215" s="26"/>
      <c r="AI1215" s="26"/>
      <c r="AJ1215" s="26"/>
      <c r="AK1215" s="26"/>
      <c r="AL1215" s="26"/>
      <c r="AM1215" s="26"/>
      <c r="AN1215" s="26"/>
      <c r="AO1215" s="26"/>
      <c r="AP1215" s="26"/>
      <c r="AQ1215" s="26"/>
      <c r="AR1215" s="26"/>
      <c r="AS1215" s="26"/>
      <c r="AT1215" s="26"/>
      <c r="AU1215" s="26"/>
      <c r="AV1215" s="26"/>
      <c r="AW1215" s="26"/>
      <c r="AX1215" s="26"/>
      <c r="AY1215" s="26"/>
    </row>
    <row r="1216" spans="1:51" ht="12.75" customHeight="1" x14ac:dyDescent="0.25">
      <c r="A1216" s="26"/>
      <c r="B1216" s="66"/>
      <c r="C1216" s="67"/>
      <c r="D1216" s="67"/>
      <c r="E1216" s="26"/>
      <c r="F1216" s="26"/>
      <c r="G1216" s="26"/>
      <c r="H1216" s="26"/>
      <c r="I1216" s="26"/>
      <c r="J1216" s="26"/>
      <c r="K1216" s="26"/>
      <c r="L1216" s="26"/>
      <c r="M1216" s="26"/>
      <c r="N1216" s="26"/>
      <c r="O1216" s="26"/>
      <c r="P1216" s="26"/>
      <c r="Q1216" s="26"/>
      <c r="R1216" s="26"/>
      <c r="S1216" s="26"/>
      <c r="T1216" s="26"/>
      <c r="U1216" s="26"/>
      <c r="V1216" s="26"/>
      <c r="W1216" s="26"/>
      <c r="X1216" s="26"/>
      <c r="Y1216" s="26"/>
      <c r="Z1216" s="26"/>
      <c r="AA1216" s="26"/>
      <c r="AB1216" s="26"/>
      <c r="AC1216" s="26"/>
      <c r="AD1216" s="26"/>
      <c r="AE1216" s="26"/>
      <c r="AF1216" s="26"/>
      <c r="AG1216" s="26"/>
      <c r="AH1216" s="26"/>
      <c r="AI1216" s="26"/>
      <c r="AJ1216" s="26"/>
      <c r="AK1216" s="26"/>
      <c r="AL1216" s="26"/>
      <c r="AM1216" s="26"/>
      <c r="AN1216" s="26"/>
      <c r="AO1216" s="26"/>
      <c r="AP1216" s="26"/>
      <c r="AQ1216" s="26"/>
      <c r="AR1216" s="26"/>
      <c r="AS1216" s="26"/>
      <c r="AT1216" s="26"/>
      <c r="AU1216" s="26"/>
      <c r="AV1216" s="26"/>
      <c r="AW1216" s="26"/>
      <c r="AX1216" s="26"/>
      <c r="AY1216" s="26"/>
    </row>
    <row r="1217" spans="1:51" ht="12.75" customHeight="1" x14ac:dyDescent="0.25">
      <c r="A1217" s="26"/>
      <c r="B1217" s="66"/>
      <c r="C1217" s="67"/>
      <c r="D1217" s="67"/>
      <c r="E1217" s="26"/>
      <c r="F1217" s="26"/>
      <c r="G1217" s="26"/>
      <c r="H1217" s="26"/>
      <c r="I1217" s="26"/>
      <c r="J1217" s="26"/>
      <c r="K1217" s="26"/>
      <c r="L1217" s="26"/>
      <c r="M1217" s="26"/>
      <c r="N1217" s="26"/>
      <c r="O1217" s="26"/>
      <c r="P1217" s="26"/>
      <c r="Q1217" s="26"/>
      <c r="R1217" s="26"/>
      <c r="S1217" s="26"/>
      <c r="T1217" s="26"/>
      <c r="U1217" s="26"/>
      <c r="V1217" s="26"/>
      <c r="W1217" s="26"/>
      <c r="X1217" s="26"/>
      <c r="Y1217" s="26"/>
      <c r="Z1217" s="26"/>
      <c r="AA1217" s="26"/>
      <c r="AB1217" s="26"/>
      <c r="AC1217" s="26"/>
      <c r="AD1217" s="26"/>
      <c r="AE1217" s="26"/>
      <c r="AF1217" s="26"/>
      <c r="AG1217" s="26"/>
      <c r="AH1217" s="26"/>
      <c r="AI1217" s="26"/>
      <c r="AJ1217" s="26"/>
      <c r="AK1217" s="26"/>
      <c r="AL1217" s="26"/>
      <c r="AM1217" s="26"/>
      <c r="AN1217" s="26"/>
      <c r="AO1217" s="26"/>
      <c r="AP1217" s="26"/>
      <c r="AQ1217" s="26"/>
      <c r="AR1217" s="26"/>
      <c r="AS1217" s="26"/>
      <c r="AT1217" s="26"/>
      <c r="AU1217" s="26"/>
      <c r="AV1217" s="26"/>
      <c r="AW1217" s="26"/>
      <c r="AX1217" s="26"/>
      <c r="AY1217" s="26"/>
    </row>
    <row r="1218" spans="1:51" ht="12.75" customHeight="1" x14ac:dyDescent="0.25">
      <c r="A1218" s="26"/>
      <c r="B1218" s="66"/>
      <c r="C1218" s="67"/>
      <c r="D1218" s="67"/>
      <c r="E1218" s="26"/>
      <c r="F1218" s="26"/>
      <c r="G1218" s="26"/>
      <c r="H1218" s="26"/>
      <c r="I1218" s="26"/>
      <c r="J1218" s="26"/>
      <c r="K1218" s="26"/>
      <c r="L1218" s="26"/>
      <c r="M1218" s="26"/>
      <c r="N1218" s="26"/>
      <c r="O1218" s="26"/>
      <c r="P1218" s="26"/>
      <c r="Q1218" s="26"/>
      <c r="R1218" s="26"/>
      <c r="S1218" s="26"/>
      <c r="T1218" s="26"/>
      <c r="U1218" s="26"/>
      <c r="V1218" s="26"/>
      <c r="W1218" s="26"/>
      <c r="X1218" s="26"/>
      <c r="Y1218" s="26"/>
      <c r="Z1218" s="26"/>
      <c r="AA1218" s="26"/>
      <c r="AB1218" s="26"/>
      <c r="AC1218" s="26"/>
      <c r="AD1218" s="26"/>
      <c r="AE1218" s="26"/>
      <c r="AF1218" s="26"/>
      <c r="AG1218" s="26"/>
      <c r="AH1218" s="26"/>
      <c r="AI1218" s="26"/>
      <c r="AJ1218" s="26"/>
      <c r="AK1218" s="26"/>
      <c r="AL1218" s="26"/>
      <c r="AM1218" s="26"/>
      <c r="AN1218" s="26"/>
      <c r="AO1218" s="26"/>
      <c r="AP1218" s="26"/>
      <c r="AQ1218" s="26"/>
      <c r="AR1218" s="26"/>
      <c r="AS1218" s="26"/>
      <c r="AT1218" s="26"/>
      <c r="AU1218" s="26"/>
      <c r="AV1218" s="26"/>
      <c r="AW1218" s="26"/>
      <c r="AX1218" s="26"/>
      <c r="AY1218" s="26"/>
    </row>
    <row r="1219" spans="1:51" ht="12.75" customHeight="1" x14ac:dyDescent="0.25">
      <c r="A1219" s="26"/>
      <c r="B1219" s="66"/>
      <c r="C1219" s="67"/>
      <c r="D1219" s="67"/>
      <c r="E1219" s="26"/>
      <c r="F1219" s="26"/>
      <c r="G1219" s="26"/>
      <c r="H1219" s="26"/>
      <c r="I1219" s="26"/>
      <c r="J1219" s="26"/>
      <c r="K1219" s="26"/>
      <c r="L1219" s="26"/>
      <c r="M1219" s="26"/>
      <c r="N1219" s="26"/>
      <c r="O1219" s="26"/>
      <c r="P1219" s="26"/>
      <c r="Q1219" s="26"/>
      <c r="R1219" s="26"/>
      <c r="S1219" s="26"/>
      <c r="T1219" s="26"/>
      <c r="U1219" s="26"/>
      <c r="V1219" s="26"/>
      <c r="W1219" s="26"/>
      <c r="X1219" s="26"/>
      <c r="Y1219" s="26"/>
      <c r="Z1219" s="26"/>
      <c r="AA1219" s="26"/>
      <c r="AB1219" s="26"/>
      <c r="AC1219" s="26"/>
      <c r="AD1219" s="26"/>
      <c r="AE1219" s="26"/>
      <c r="AF1219" s="26"/>
      <c r="AG1219" s="26"/>
      <c r="AH1219" s="26"/>
      <c r="AI1219" s="26"/>
      <c r="AJ1219" s="26"/>
      <c r="AK1219" s="26"/>
      <c r="AL1219" s="26"/>
      <c r="AM1219" s="26"/>
      <c r="AN1219" s="26"/>
      <c r="AO1219" s="26"/>
      <c r="AP1219" s="26"/>
      <c r="AQ1219" s="26"/>
      <c r="AR1219" s="26"/>
      <c r="AS1219" s="26"/>
      <c r="AT1219" s="26"/>
      <c r="AU1219" s="26"/>
      <c r="AV1219" s="26"/>
      <c r="AW1219" s="26"/>
      <c r="AX1219" s="26"/>
      <c r="AY1219" s="26"/>
    </row>
    <row r="1220" spans="1:51" ht="12.75" customHeight="1" x14ac:dyDescent="0.25">
      <c r="A1220" s="26"/>
      <c r="B1220" s="66"/>
      <c r="C1220" s="67"/>
      <c r="D1220" s="67"/>
      <c r="E1220" s="26"/>
      <c r="F1220" s="26"/>
      <c r="G1220" s="26"/>
      <c r="H1220" s="26"/>
      <c r="I1220" s="26"/>
      <c r="J1220" s="26"/>
      <c r="K1220" s="26"/>
      <c r="L1220" s="26"/>
      <c r="M1220" s="26"/>
      <c r="N1220" s="26"/>
      <c r="O1220" s="26"/>
      <c r="P1220" s="26"/>
      <c r="Q1220" s="26"/>
      <c r="R1220" s="26"/>
      <c r="S1220" s="26"/>
      <c r="T1220" s="26"/>
      <c r="U1220" s="26"/>
      <c r="V1220" s="26"/>
      <c r="W1220" s="26"/>
      <c r="X1220" s="26"/>
      <c r="Y1220" s="26"/>
      <c r="Z1220" s="26"/>
      <c r="AA1220" s="26"/>
      <c r="AB1220" s="26"/>
      <c r="AC1220" s="26"/>
      <c r="AD1220" s="26"/>
      <c r="AE1220" s="26"/>
      <c r="AF1220" s="26"/>
      <c r="AG1220" s="26"/>
      <c r="AH1220" s="26"/>
      <c r="AI1220" s="26"/>
      <c r="AJ1220" s="26"/>
      <c r="AK1220" s="26"/>
      <c r="AL1220" s="26"/>
      <c r="AM1220" s="26"/>
      <c r="AN1220" s="26"/>
      <c r="AO1220" s="26"/>
      <c r="AP1220" s="26"/>
      <c r="AQ1220" s="26"/>
      <c r="AR1220" s="26"/>
      <c r="AS1220" s="26"/>
      <c r="AT1220" s="26"/>
      <c r="AU1220" s="26"/>
      <c r="AV1220" s="26"/>
      <c r="AW1220" s="26"/>
      <c r="AX1220" s="26"/>
      <c r="AY1220" s="26"/>
    </row>
    <row r="1221" spans="1:51" ht="12.75" customHeight="1" x14ac:dyDescent="0.25">
      <c r="A1221" s="26"/>
      <c r="B1221" s="66"/>
      <c r="C1221" s="67"/>
      <c r="D1221" s="67"/>
      <c r="E1221" s="26"/>
      <c r="F1221" s="26"/>
      <c r="G1221" s="26"/>
      <c r="H1221" s="26"/>
      <c r="I1221" s="26"/>
      <c r="J1221" s="26"/>
      <c r="K1221" s="26"/>
      <c r="L1221" s="26"/>
      <c r="M1221" s="26"/>
      <c r="N1221" s="26"/>
      <c r="O1221" s="26"/>
      <c r="P1221" s="26"/>
      <c r="Q1221" s="26"/>
      <c r="R1221" s="26"/>
      <c r="S1221" s="26"/>
      <c r="T1221" s="26"/>
      <c r="U1221" s="26"/>
      <c r="V1221" s="26"/>
      <c r="W1221" s="26"/>
      <c r="X1221" s="26"/>
      <c r="Y1221" s="26"/>
      <c r="Z1221" s="26"/>
      <c r="AA1221" s="26"/>
      <c r="AB1221" s="26"/>
      <c r="AC1221" s="26"/>
      <c r="AD1221" s="26"/>
      <c r="AE1221" s="26"/>
      <c r="AF1221" s="26"/>
      <c r="AG1221" s="26"/>
      <c r="AH1221" s="26"/>
      <c r="AI1221" s="26"/>
      <c r="AJ1221" s="26"/>
      <c r="AK1221" s="26"/>
      <c r="AL1221" s="26"/>
      <c r="AM1221" s="26"/>
      <c r="AN1221" s="26"/>
      <c r="AO1221" s="26"/>
      <c r="AP1221" s="26"/>
      <c r="AQ1221" s="26"/>
      <c r="AR1221" s="26"/>
      <c r="AS1221" s="26"/>
      <c r="AT1221" s="26"/>
      <c r="AU1221" s="26"/>
      <c r="AV1221" s="26"/>
      <c r="AW1221" s="26"/>
      <c r="AX1221" s="26"/>
      <c r="AY1221" s="26"/>
    </row>
    <row r="1222" spans="1:51" ht="12.75" customHeight="1" x14ac:dyDescent="0.25">
      <c r="A1222" s="26"/>
      <c r="B1222" s="66"/>
      <c r="C1222" s="67"/>
      <c r="D1222" s="67"/>
      <c r="E1222" s="26"/>
      <c r="F1222" s="26"/>
      <c r="G1222" s="26"/>
      <c r="H1222" s="26"/>
      <c r="I1222" s="26"/>
      <c r="J1222" s="26"/>
      <c r="K1222" s="26"/>
      <c r="L1222" s="26"/>
      <c r="M1222" s="26"/>
      <c r="N1222" s="26"/>
      <c r="O1222" s="26"/>
      <c r="P1222" s="26"/>
      <c r="Q1222" s="26"/>
      <c r="R1222" s="26"/>
      <c r="S1222" s="26"/>
      <c r="T1222" s="26"/>
      <c r="U1222" s="26"/>
      <c r="V1222" s="26"/>
      <c r="W1222" s="26"/>
      <c r="X1222" s="26"/>
      <c r="Y1222" s="26"/>
      <c r="Z1222" s="26"/>
      <c r="AA1222" s="26"/>
      <c r="AB1222" s="26"/>
      <c r="AC1222" s="26"/>
      <c r="AD1222" s="26"/>
      <c r="AE1222" s="26"/>
      <c r="AF1222" s="26"/>
      <c r="AG1222" s="26"/>
      <c r="AH1222" s="26"/>
      <c r="AI1222" s="26"/>
      <c r="AJ1222" s="26"/>
      <c r="AK1222" s="26"/>
      <c r="AL1222" s="26"/>
      <c r="AM1222" s="26"/>
      <c r="AN1222" s="26"/>
      <c r="AO1222" s="26"/>
      <c r="AP1222" s="26"/>
      <c r="AQ1222" s="26"/>
      <c r="AR1222" s="26"/>
      <c r="AS1222" s="26"/>
      <c r="AT1222" s="26"/>
      <c r="AU1222" s="26"/>
      <c r="AV1222" s="26"/>
      <c r="AW1222" s="26"/>
      <c r="AX1222" s="26"/>
      <c r="AY1222" s="26"/>
    </row>
    <row r="1223" spans="1:51" ht="12.75" customHeight="1" x14ac:dyDescent="0.25">
      <c r="A1223" s="26"/>
      <c r="B1223" s="66"/>
      <c r="C1223" s="67"/>
      <c r="D1223" s="67"/>
      <c r="E1223" s="26"/>
      <c r="F1223" s="26"/>
      <c r="G1223" s="26"/>
      <c r="H1223" s="26"/>
      <c r="I1223" s="26"/>
      <c r="J1223" s="26"/>
      <c r="K1223" s="26"/>
      <c r="L1223" s="26"/>
      <c r="M1223" s="26"/>
      <c r="N1223" s="26"/>
      <c r="O1223" s="26"/>
      <c r="P1223" s="26"/>
      <c r="Q1223" s="26"/>
      <c r="R1223" s="26"/>
      <c r="S1223" s="26"/>
      <c r="T1223" s="26"/>
      <c r="U1223" s="26"/>
      <c r="V1223" s="26"/>
      <c r="W1223" s="26"/>
      <c r="X1223" s="26"/>
      <c r="Y1223" s="26"/>
      <c r="Z1223" s="26"/>
      <c r="AA1223" s="26"/>
      <c r="AB1223" s="26"/>
      <c r="AC1223" s="26"/>
      <c r="AD1223" s="26"/>
      <c r="AE1223" s="26"/>
      <c r="AF1223" s="26"/>
      <c r="AG1223" s="26"/>
      <c r="AH1223" s="26"/>
      <c r="AI1223" s="26"/>
      <c r="AJ1223" s="26"/>
      <c r="AK1223" s="26"/>
      <c r="AL1223" s="26"/>
      <c r="AM1223" s="26"/>
      <c r="AN1223" s="26"/>
      <c r="AO1223" s="26"/>
      <c r="AP1223" s="26"/>
      <c r="AQ1223" s="26"/>
      <c r="AR1223" s="26"/>
      <c r="AS1223" s="26"/>
      <c r="AT1223" s="26"/>
      <c r="AU1223" s="26"/>
      <c r="AV1223" s="26"/>
      <c r="AW1223" s="26"/>
      <c r="AX1223" s="26"/>
      <c r="AY1223" s="26"/>
    </row>
    <row r="1224" spans="1:51" ht="12.75" customHeight="1" x14ac:dyDescent="0.25">
      <c r="A1224" s="26"/>
      <c r="B1224" s="66"/>
      <c r="C1224" s="67"/>
      <c r="D1224" s="67"/>
      <c r="E1224" s="26"/>
      <c r="F1224" s="26"/>
      <c r="G1224" s="26"/>
      <c r="H1224" s="26"/>
      <c r="I1224" s="26"/>
      <c r="J1224" s="26"/>
      <c r="K1224" s="26"/>
      <c r="L1224" s="26"/>
      <c r="M1224" s="26"/>
      <c r="N1224" s="26"/>
      <c r="O1224" s="26"/>
      <c r="P1224" s="26"/>
      <c r="Q1224" s="26"/>
      <c r="R1224" s="26"/>
      <c r="S1224" s="26"/>
      <c r="T1224" s="26"/>
      <c r="U1224" s="26"/>
      <c r="V1224" s="26"/>
      <c r="W1224" s="26"/>
      <c r="X1224" s="26"/>
      <c r="Y1224" s="26"/>
      <c r="Z1224" s="26"/>
      <c r="AA1224" s="26"/>
      <c r="AB1224" s="26"/>
      <c r="AC1224" s="26"/>
      <c r="AD1224" s="26"/>
      <c r="AE1224" s="26"/>
      <c r="AF1224" s="26"/>
      <c r="AG1224" s="26"/>
      <c r="AH1224" s="26"/>
      <c r="AI1224" s="26"/>
      <c r="AJ1224" s="26"/>
      <c r="AK1224" s="26"/>
      <c r="AL1224" s="26"/>
      <c r="AM1224" s="26"/>
      <c r="AN1224" s="26"/>
      <c r="AO1224" s="26"/>
      <c r="AP1224" s="26"/>
      <c r="AQ1224" s="26"/>
      <c r="AR1224" s="26"/>
      <c r="AS1224" s="26"/>
      <c r="AT1224" s="26"/>
      <c r="AU1224" s="26"/>
      <c r="AV1224" s="26"/>
      <c r="AW1224" s="26"/>
      <c r="AX1224" s="26"/>
      <c r="AY1224" s="26"/>
    </row>
    <row r="1225" spans="1:51" ht="12.75" customHeight="1" x14ac:dyDescent="0.25">
      <c r="A1225" s="26"/>
      <c r="B1225" s="66"/>
      <c r="C1225" s="67"/>
      <c r="D1225" s="67"/>
      <c r="E1225" s="26"/>
      <c r="F1225" s="26"/>
      <c r="G1225" s="26"/>
      <c r="H1225" s="26"/>
      <c r="I1225" s="26"/>
      <c r="J1225" s="26"/>
      <c r="K1225" s="26"/>
      <c r="L1225" s="26"/>
      <c r="M1225" s="26"/>
      <c r="N1225" s="26"/>
      <c r="O1225" s="26"/>
      <c r="P1225" s="26"/>
      <c r="Q1225" s="26"/>
      <c r="R1225" s="26"/>
      <c r="S1225" s="26"/>
      <c r="T1225" s="26"/>
      <c r="U1225" s="26"/>
      <c r="V1225" s="26"/>
      <c r="W1225" s="26"/>
      <c r="X1225" s="26"/>
      <c r="Y1225" s="26"/>
      <c r="Z1225" s="26"/>
      <c r="AA1225" s="26"/>
      <c r="AB1225" s="26"/>
      <c r="AC1225" s="26"/>
      <c r="AD1225" s="26"/>
      <c r="AE1225" s="26"/>
      <c r="AF1225" s="26"/>
      <c r="AG1225" s="26"/>
      <c r="AH1225" s="26"/>
      <c r="AI1225" s="26"/>
      <c r="AJ1225" s="26"/>
      <c r="AK1225" s="26"/>
      <c r="AL1225" s="26"/>
      <c r="AM1225" s="26"/>
      <c r="AN1225" s="26"/>
      <c r="AO1225" s="26"/>
      <c r="AP1225" s="26"/>
      <c r="AQ1225" s="26"/>
      <c r="AR1225" s="26"/>
      <c r="AS1225" s="26"/>
      <c r="AT1225" s="26"/>
      <c r="AU1225" s="26"/>
      <c r="AV1225" s="26"/>
      <c r="AW1225" s="26"/>
      <c r="AX1225" s="26"/>
      <c r="AY1225" s="26"/>
    </row>
    <row r="1226" spans="1:51" ht="12.75" customHeight="1" x14ac:dyDescent="0.25">
      <c r="A1226" s="26"/>
      <c r="B1226" s="66"/>
      <c r="C1226" s="67"/>
      <c r="D1226" s="67"/>
      <c r="E1226" s="26"/>
      <c r="F1226" s="26"/>
      <c r="G1226" s="26"/>
      <c r="H1226" s="26"/>
      <c r="I1226" s="26"/>
      <c r="J1226" s="26"/>
      <c r="K1226" s="26"/>
      <c r="L1226" s="26"/>
      <c r="M1226" s="26"/>
      <c r="N1226" s="26"/>
      <c r="O1226" s="26"/>
      <c r="P1226" s="26"/>
      <c r="Q1226" s="26"/>
      <c r="R1226" s="26"/>
      <c r="S1226" s="26"/>
      <c r="T1226" s="26"/>
      <c r="U1226" s="26"/>
      <c r="V1226" s="26"/>
      <c r="W1226" s="26"/>
      <c r="X1226" s="26"/>
      <c r="Y1226" s="26"/>
      <c r="Z1226" s="26"/>
      <c r="AA1226" s="26"/>
      <c r="AB1226" s="26"/>
      <c r="AC1226" s="26"/>
      <c r="AD1226" s="26"/>
      <c r="AE1226" s="26"/>
      <c r="AF1226" s="26"/>
      <c r="AG1226" s="26"/>
      <c r="AH1226" s="26"/>
      <c r="AI1226" s="26"/>
      <c r="AJ1226" s="26"/>
      <c r="AK1226" s="26"/>
      <c r="AL1226" s="26"/>
      <c r="AM1226" s="26"/>
      <c r="AN1226" s="26"/>
      <c r="AO1226" s="26"/>
      <c r="AP1226" s="26"/>
      <c r="AQ1226" s="26"/>
      <c r="AR1226" s="26"/>
      <c r="AS1226" s="26"/>
      <c r="AT1226" s="26"/>
      <c r="AU1226" s="26"/>
      <c r="AV1226" s="26"/>
      <c r="AW1226" s="26"/>
      <c r="AX1226" s="26"/>
      <c r="AY1226" s="26"/>
    </row>
    <row r="1227" spans="1:51" ht="12.75" customHeight="1" x14ac:dyDescent="0.25">
      <c r="A1227" s="26"/>
      <c r="B1227" s="66"/>
      <c r="C1227" s="67"/>
      <c r="D1227" s="67"/>
      <c r="E1227" s="26"/>
      <c r="F1227" s="26"/>
      <c r="G1227" s="26"/>
      <c r="H1227" s="26"/>
      <c r="I1227" s="26"/>
      <c r="J1227" s="26"/>
      <c r="K1227" s="26"/>
      <c r="L1227" s="26"/>
      <c r="M1227" s="26"/>
      <c r="N1227" s="26"/>
      <c r="O1227" s="26"/>
      <c r="P1227" s="26"/>
      <c r="Q1227" s="26"/>
      <c r="R1227" s="26"/>
      <c r="S1227" s="26"/>
      <c r="T1227" s="26"/>
      <c r="U1227" s="26"/>
      <c r="V1227" s="26"/>
      <c r="W1227" s="26"/>
      <c r="X1227" s="26"/>
      <c r="Y1227" s="26"/>
      <c r="Z1227" s="26"/>
      <c r="AA1227" s="26"/>
      <c r="AB1227" s="26"/>
      <c r="AC1227" s="26"/>
      <c r="AD1227" s="26"/>
      <c r="AE1227" s="26"/>
      <c r="AF1227" s="26"/>
      <c r="AG1227" s="26"/>
      <c r="AH1227" s="26"/>
      <c r="AI1227" s="26"/>
      <c r="AJ1227" s="26"/>
      <c r="AK1227" s="26"/>
      <c r="AL1227" s="26"/>
      <c r="AM1227" s="26"/>
      <c r="AN1227" s="26"/>
      <c r="AO1227" s="26"/>
      <c r="AP1227" s="26"/>
      <c r="AQ1227" s="26"/>
      <c r="AR1227" s="26"/>
      <c r="AS1227" s="26"/>
      <c r="AT1227" s="26"/>
      <c r="AU1227" s="26"/>
      <c r="AV1227" s="26"/>
      <c r="AW1227" s="26"/>
      <c r="AX1227" s="26"/>
      <c r="AY1227" s="26"/>
    </row>
    <row r="1228" spans="1:51" ht="12.75" customHeight="1" x14ac:dyDescent="0.25">
      <c r="A1228" s="26"/>
      <c r="B1228" s="66"/>
      <c r="C1228" s="67"/>
      <c r="D1228" s="67"/>
      <c r="E1228" s="26"/>
      <c r="F1228" s="26"/>
      <c r="G1228" s="26"/>
      <c r="H1228" s="26"/>
      <c r="I1228" s="26"/>
      <c r="J1228" s="26"/>
      <c r="K1228" s="26"/>
      <c r="L1228" s="26"/>
      <c r="M1228" s="26"/>
      <c r="N1228" s="26"/>
      <c r="O1228" s="26"/>
      <c r="P1228" s="26"/>
      <c r="Q1228" s="26"/>
      <c r="R1228" s="26"/>
      <c r="S1228" s="26"/>
      <c r="T1228" s="26"/>
      <c r="U1228" s="26"/>
      <c r="V1228" s="26"/>
      <c r="W1228" s="26"/>
      <c r="X1228" s="26"/>
      <c r="Y1228" s="26"/>
      <c r="Z1228" s="26"/>
      <c r="AA1228" s="26"/>
      <c r="AB1228" s="26"/>
      <c r="AC1228" s="26"/>
      <c r="AD1228" s="26"/>
      <c r="AE1228" s="26"/>
      <c r="AF1228" s="26"/>
      <c r="AG1228" s="26"/>
      <c r="AH1228" s="26"/>
      <c r="AI1228" s="26"/>
      <c r="AJ1228" s="26"/>
      <c r="AK1228" s="26"/>
      <c r="AL1228" s="26"/>
      <c r="AM1228" s="26"/>
      <c r="AN1228" s="26"/>
      <c r="AO1228" s="26"/>
      <c r="AP1228" s="26"/>
      <c r="AQ1228" s="26"/>
      <c r="AR1228" s="26"/>
      <c r="AS1228" s="26"/>
      <c r="AT1228" s="26"/>
      <c r="AU1228" s="26"/>
      <c r="AV1228" s="26"/>
      <c r="AW1228" s="26"/>
      <c r="AX1228" s="26"/>
      <c r="AY1228" s="26"/>
    </row>
    <row r="1229" spans="1:51" ht="12.75" customHeight="1" x14ac:dyDescent="0.25">
      <c r="A1229" s="26"/>
      <c r="B1229" s="66"/>
      <c r="C1229" s="67"/>
      <c r="D1229" s="67"/>
      <c r="E1229" s="26"/>
      <c r="F1229" s="26"/>
      <c r="G1229" s="26"/>
      <c r="H1229" s="26"/>
      <c r="I1229" s="26"/>
      <c r="J1229" s="26"/>
      <c r="K1229" s="26"/>
      <c r="L1229" s="26"/>
      <c r="M1229" s="26"/>
      <c r="N1229" s="26"/>
      <c r="O1229" s="26"/>
      <c r="P1229" s="26"/>
      <c r="Q1229" s="26"/>
      <c r="R1229" s="26"/>
      <c r="S1229" s="26"/>
      <c r="T1229" s="26"/>
      <c r="U1229" s="26"/>
      <c r="V1229" s="26"/>
      <c r="W1229" s="26"/>
      <c r="X1229" s="26"/>
      <c r="Y1229" s="26"/>
      <c r="Z1229" s="26"/>
      <c r="AA1229" s="26"/>
      <c r="AB1229" s="26"/>
      <c r="AC1229" s="26"/>
      <c r="AD1229" s="26"/>
      <c r="AE1229" s="26"/>
      <c r="AF1229" s="26"/>
      <c r="AG1229" s="26"/>
      <c r="AH1229" s="26"/>
      <c r="AI1229" s="26"/>
      <c r="AJ1229" s="26"/>
      <c r="AK1229" s="26"/>
      <c r="AL1229" s="26"/>
      <c r="AM1229" s="26"/>
      <c r="AN1229" s="26"/>
      <c r="AO1229" s="26"/>
      <c r="AP1229" s="26"/>
      <c r="AQ1229" s="26"/>
      <c r="AR1229" s="26"/>
      <c r="AS1229" s="26"/>
      <c r="AT1229" s="26"/>
      <c r="AU1229" s="26"/>
      <c r="AV1229" s="26"/>
      <c r="AW1229" s="26"/>
      <c r="AX1229" s="26"/>
      <c r="AY1229" s="26"/>
    </row>
    <row r="1230" spans="1:51" ht="12.75" customHeight="1" x14ac:dyDescent="0.25">
      <c r="A1230" s="26"/>
      <c r="B1230" s="66"/>
      <c r="C1230" s="67"/>
      <c r="D1230" s="67"/>
      <c r="E1230" s="26"/>
      <c r="F1230" s="26"/>
      <c r="G1230" s="26"/>
      <c r="H1230" s="26"/>
      <c r="I1230" s="26"/>
      <c r="J1230" s="26"/>
      <c r="K1230" s="26"/>
      <c r="L1230" s="26"/>
      <c r="M1230" s="26"/>
      <c r="N1230" s="26"/>
      <c r="O1230" s="26"/>
      <c r="P1230" s="26"/>
      <c r="Q1230" s="26"/>
      <c r="R1230" s="26"/>
      <c r="S1230" s="26"/>
      <c r="T1230" s="26"/>
      <c r="U1230" s="26"/>
      <c r="V1230" s="26"/>
      <c r="W1230" s="26"/>
      <c r="X1230" s="26"/>
      <c r="Y1230" s="26"/>
      <c r="Z1230" s="26"/>
      <c r="AA1230" s="26"/>
      <c r="AB1230" s="26"/>
      <c r="AC1230" s="26"/>
      <c r="AD1230" s="26"/>
      <c r="AE1230" s="26"/>
      <c r="AF1230" s="26"/>
      <c r="AG1230" s="26"/>
      <c r="AH1230" s="26"/>
      <c r="AI1230" s="26"/>
      <c r="AJ1230" s="26"/>
      <c r="AK1230" s="26"/>
      <c r="AL1230" s="26"/>
      <c r="AM1230" s="26"/>
      <c r="AN1230" s="26"/>
      <c r="AO1230" s="26"/>
      <c r="AP1230" s="26"/>
      <c r="AQ1230" s="26"/>
      <c r="AR1230" s="26"/>
      <c r="AS1230" s="26"/>
      <c r="AT1230" s="26"/>
      <c r="AU1230" s="26"/>
      <c r="AV1230" s="26"/>
      <c r="AW1230" s="26"/>
      <c r="AX1230" s="26"/>
      <c r="AY1230" s="26"/>
    </row>
    <row r="1231" spans="1:51" ht="12.75" customHeight="1" x14ac:dyDescent="0.25">
      <c r="A1231" s="26"/>
      <c r="B1231" s="66"/>
      <c r="C1231" s="67"/>
      <c r="D1231" s="67"/>
      <c r="E1231" s="26"/>
      <c r="F1231" s="26"/>
      <c r="G1231" s="26"/>
      <c r="H1231" s="26"/>
      <c r="I1231" s="26"/>
      <c r="J1231" s="26"/>
      <c r="K1231" s="26"/>
      <c r="L1231" s="26"/>
      <c r="M1231" s="26"/>
      <c r="N1231" s="26"/>
      <c r="O1231" s="26"/>
      <c r="P1231" s="26"/>
      <c r="Q1231" s="26"/>
      <c r="R1231" s="26"/>
      <c r="S1231" s="26"/>
      <c r="T1231" s="26"/>
      <c r="U1231" s="26"/>
      <c r="V1231" s="26"/>
      <c r="W1231" s="26"/>
      <c r="X1231" s="26"/>
      <c r="Y1231" s="26"/>
      <c r="Z1231" s="26"/>
      <c r="AA1231" s="26"/>
      <c r="AB1231" s="26"/>
      <c r="AC1231" s="26"/>
      <c r="AD1231" s="26"/>
      <c r="AE1231" s="26"/>
      <c r="AF1231" s="26"/>
      <c r="AG1231" s="26"/>
      <c r="AH1231" s="26"/>
      <c r="AI1231" s="26"/>
      <c r="AJ1231" s="26"/>
      <c r="AK1231" s="26"/>
      <c r="AL1231" s="26"/>
      <c r="AM1231" s="26"/>
      <c r="AN1231" s="26"/>
      <c r="AO1231" s="26"/>
      <c r="AP1231" s="26"/>
      <c r="AQ1231" s="26"/>
      <c r="AR1231" s="26"/>
      <c r="AS1231" s="26"/>
      <c r="AT1231" s="26"/>
      <c r="AU1231" s="26"/>
      <c r="AV1231" s="26"/>
      <c r="AW1231" s="26"/>
      <c r="AX1231" s="26"/>
      <c r="AY1231" s="26"/>
    </row>
    <row r="1232" spans="1:51" ht="12.75" customHeight="1" x14ac:dyDescent="0.25">
      <c r="A1232" s="26"/>
      <c r="B1232" s="66"/>
      <c r="C1232" s="67"/>
      <c r="D1232" s="67"/>
      <c r="E1232" s="26"/>
      <c r="F1232" s="26"/>
      <c r="G1232" s="26"/>
      <c r="H1232" s="26"/>
      <c r="I1232" s="26"/>
      <c r="J1232" s="26"/>
      <c r="K1232" s="26"/>
      <c r="L1232" s="26"/>
      <c r="M1232" s="26"/>
      <c r="N1232" s="26"/>
      <c r="O1232" s="26"/>
      <c r="P1232" s="26"/>
      <c r="Q1232" s="26"/>
      <c r="R1232" s="26"/>
      <c r="S1232" s="26"/>
      <c r="T1232" s="26"/>
      <c r="U1232" s="26"/>
      <c r="V1232" s="26"/>
      <c r="W1232" s="26"/>
      <c r="X1232" s="26"/>
      <c r="Y1232" s="26"/>
      <c r="Z1232" s="26"/>
      <c r="AA1232" s="26"/>
      <c r="AB1232" s="26"/>
      <c r="AC1232" s="26"/>
      <c r="AD1232" s="26"/>
      <c r="AE1232" s="26"/>
      <c r="AF1232" s="26"/>
      <c r="AG1232" s="26"/>
      <c r="AH1232" s="26"/>
      <c r="AI1232" s="26"/>
      <c r="AJ1232" s="26"/>
      <c r="AK1232" s="26"/>
      <c r="AL1232" s="26"/>
      <c r="AM1232" s="26"/>
      <c r="AN1232" s="26"/>
      <c r="AO1232" s="26"/>
      <c r="AP1232" s="26"/>
      <c r="AQ1232" s="26"/>
      <c r="AR1232" s="26"/>
      <c r="AS1232" s="26"/>
      <c r="AT1232" s="26"/>
      <c r="AU1232" s="26"/>
      <c r="AV1232" s="26"/>
      <c r="AW1232" s="26"/>
      <c r="AX1232" s="26"/>
      <c r="AY1232" s="26"/>
    </row>
    <row r="1233" spans="1:51" ht="12.75" customHeight="1" x14ac:dyDescent="0.25">
      <c r="A1233" s="26"/>
      <c r="B1233" s="66"/>
      <c r="C1233" s="67"/>
      <c r="D1233" s="67"/>
      <c r="E1233" s="26"/>
      <c r="F1233" s="26"/>
      <c r="G1233" s="26"/>
      <c r="H1233" s="26"/>
      <c r="I1233" s="26"/>
      <c r="J1233" s="26"/>
      <c r="K1233" s="26"/>
      <c r="L1233" s="26"/>
      <c r="M1233" s="26"/>
      <c r="N1233" s="26"/>
      <c r="O1233" s="26"/>
      <c r="P1233" s="26"/>
      <c r="Q1233" s="26"/>
      <c r="R1233" s="26"/>
      <c r="S1233" s="26"/>
      <c r="T1233" s="26"/>
      <c r="U1233" s="26"/>
      <c r="V1233" s="26"/>
      <c r="W1233" s="26"/>
      <c r="X1233" s="26"/>
      <c r="Y1233" s="26"/>
      <c r="Z1233" s="26"/>
      <c r="AA1233" s="26"/>
      <c r="AB1233" s="26"/>
      <c r="AC1233" s="26"/>
      <c r="AD1233" s="26"/>
      <c r="AE1233" s="26"/>
      <c r="AF1233" s="26"/>
      <c r="AG1233" s="26"/>
      <c r="AH1233" s="26"/>
      <c r="AI1233" s="26"/>
      <c r="AJ1233" s="26"/>
      <c r="AK1233" s="26"/>
      <c r="AL1233" s="26"/>
      <c r="AM1233" s="26"/>
      <c r="AN1233" s="26"/>
      <c r="AO1233" s="26"/>
      <c r="AP1233" s="26"/>
      <c r="AQ1233" s="26"/>
      <c r="AR1233" s="26"/>
      <c r="AS1233" s="26"/>
      <c r="AT1233" s="26"/>
      <c r="AU1233" s="26"/>
      <c r="AV1233" s="26"/>
      <c r="AW1233" s="26"/>
      <c r="AX1233" s="26"/>
      <c r="AY1233" s="26"/>
    </row>
    <row r="1234" spans="1:51" ht="12.75" customHeight="1" x14ac:dyDescent="0.25">
      <c r="A1234" s="26"/>
      <c r="B1234" s="66"/>
      <c r="C1234" s="67"/>
      <c r="D1234" s="67"/>
      <c r="E1234" s="26"/>
      <c r="F1234" s="26"/>
      <c r="G1234" s="26"/>
      <c r="H1234" s="26"/>
      <c r="I1234" s="26"/>
      <c r="J1234" s="26"/>
      <c r="K1234" s="26"/>
      <c r="L1234" s="26"/>
      <c r="M1234" s="26"/>
      <c r="N1234" s="26"/>
      <c r="O1234" s="26"/>
      <c r="P1234" s="26"/>
      <c r="Q1234" s="26"/>
      <c r="R1234" s="26"/>
      <c r="S1234" s="26"/>
      <c r="T1234" s="26"/>
      <c r="U1234" s="26"/>
      <c r="V1234" s="26"/>
      <c r="W1234" s="26"/>
      <c r="X1234" s="26"/>
      <c r="Y1234" s="26"/>
      <c r="Z1234" s="26"/>
      <c r="AA1234" s="26"/>
      <c r="AB1234" s="26"/>
      <c r="AC1234" s="26"/>
      <c r="AD1234" s="26"/>
      <c r="AE1234" s="26"/>
      <c r="AF1234" s="26"/>
      <c r="AG1234" s="26"/>
      <c r="AH1234" s="26"/>
      <c r="AI1234" s="26"/>
      <c r="AJ1234" s="26"/>
      <c r="AK1234" s="26"/>
      <c r="AL1234" s="26"/>
      <c r="AM1234" s="26"/>
      <c r="AN1234" s="26"/>
      <c r="AO1234" s="26"/>
      <c r="AP1234" s="26"/>
      <c r="AQ1234" s="26"/>
      <c r="AR1234" s="26"/>
      <c r="AS1234" s="26"/>
      <c r="AT1234" s="26"/>
      <c r="AU1234" s="26"/>
      <c r="AV1234" s="26"/>
      <c r="AW1234" s="26"/>
      <c r="AX1234" s="26"/>
      <c r="AY1234" s="26"/>
    </row>
    <row r="1235" spans="1:51" ht="12.75" customHeight="1" x14ac:dyDescent="0.25">
      <c r="A1235" s="26"/>
      <c r="B1235" s="66"/>
      <c r="C1235" s="67"/>
      <c r="D1235" s="67"/>
      <c r="E1235" s="26"/>
      <c r="F1235" s="26"/>
      <c r="G1235" s="26"/>
      <c r="H1235" s="26"/>
      <c r="I1235" s="26"/>
      <c r="J1235" s="26"/>
      <c r="K1235" s="26"/>
      <c r="L1235" s="26"/>
      <c r="M1235" s="26"/>
      <c r="N1235" s="26"/>
      <c r="O1235" s="26"/>
      <c r="P1235" s="26"/>
      <c r="Q1235" s="26"/>
      <c r="R1235" s="26"/>
      <c r="S1235" s="26"/>
      <c r="T1235" s="26"/>
      <c r="U1235" s="26"/>
      <c r="V1235" s="26"/>
      <c r="W1235" s="26"/>
      <c r="X1235" s="26"/>
      <c r="Y1235" s="26"/>
      <c r="Z1235" s="26"/>
      <c r="AA1235" s="26"/>
      <c r="AB1235" s="26"/>
      <c r="AC1235" s="26"/>
      <c r="AD1235" s="26"/>
      <c r="AE1235" s="26"/>
      <c r="AF1235" s="26"/>
      <c r="AG1235" s="26"/>
      <c r="AH1235" s="26"/>
      <c r="AI1235" s="26"/>
      <c r="AJ1235" s="26"/>
      <c r="AK1235" s="26"/>
      <c r="AL1235" s="26"/>
      <c r="AM1235" s="26"/>
      <c r="AN1235" s="26"/>
      <c r="AO1235" s="26"/>
      <c r="AP1235" s="26"/>
      <c r="AQ1235" s="26"/>
      <c r="AR1235" s="26"/>
      <c r="AS1235" s="26"/>
      <c r="AT1235" s="26"/>
      <c r="AU1235" s="26"/>
      <c r="AV1235" s="26"/>
      <c r="AW1235" s="26"/>
      <c r="AX1235" s="26"/>
      <c r="AY1235" s="26"/>
    </row>
    <row r="1236" spans="1:51" ht="12.75" customHeight="1" x14ac:dyDescent="0.25">
      <c r="A1236" s="26"/>
      <c r="B1236" s="66"/>
      <c r="C1236" s="67"/>
      <c r="D1236" s="67"/>
      <c r="E1236" s="26"/>
      <c r="F1236" s="26"/>
      <c r="G1236" s="26"/>
      <c r="H1236" s="26"/>
      <c r="I1236" s="26"/>
      <c r="J1236" s="26"/>
      <c r="K1236" s="26"/>
      <c r="L1236" s="26"/>
      <c r="M1236" s="26"/>
      <c r="N1236" s="26"/>
      <c r="O1236" s="26"/>
      <c r="P1236" s="26"/>
      <c r="Q1236" s="26"/>
      <c r="R1236" s="26"/>
      <c r="S1236" s="26"/>
      <c r="T1236" s="26"/>
      <c r="U1236" s="26"/>
      <c r="V1236" s="26"/>
      <c r="W1236" s="26"/>
      <c r="X1236" s="26"/>
      <c r="Y1236" s="26"/>
      <c r="Z1236" s="26"/>
      <c r="AA1236" s="26"/>
      <c r="AB1236" s="26"/>
      <c r="AC1236" s="26"/>
      <c r="AD1236" s="26"/>
      <c r="AE1236" s="26"/>
      <c r="AF1236" s="26"/>
      <c r="AG1236" s="26"/>
      <c r="AH1236" s="26"/>
      <c r="AI1236" s="26"/>
      <c r="AJ1236" s="26"/>
      <c r="AK1236" s="26"/>
      <c r="AL1236" s="26"/>
      <c r="AM1236" s="26"/>
      <c r="AN1236" s="26"/>
      <c r="AO1236" s="26"/>
      <c r="AP1236" s="26"/>
      <c r="AQ1236" s="26"/>
      <c r="AR1236" s="26"/>
      <c r="AS1236" s="26"/>
      <c r="AT1236" s="26"/>
      <c r="AU1236" s="26"/>
      <c r="AV1236" s="26"/>
      <c r="AW1236" s="26"/>
      <c r="AX1236" s="26"/>
      <c r="AY1236" s="26"/>
    </row>
    <row r="1237" spans="1:51" ht="12.75" customHeight="1" x14ac:dyDescent="0.25">
      <c r="A1237" s="26"/>
      <c r="B1237" s="66"/>
      <c r="C1237" s="67"/>
      <c r="D1237" s="67"/>
      <c r="E1237" s="26"/>
      <c r="F1237" s="26"/>
      <c r="G1237" s="26"/>
      <c r="H1237" s="26"/>
      <c r="I1237" s="26"/>
      <c r="J1237" s="26"/>
      <c r="K1237" s="26"/>
      <c r="L1237" s="26"/>
      <c r="M1237" s="26"/>
      <c r="N1237" s="26"/>
      <c r="O1237" s="26"/>
      <c r="P1237" s="26"/>
      <c r="Q1237" s="26"/>
      <c r="R1237" s="26"/>
      <c r="S1237" s="76"/>
      <c r="T1237" s="26"/>
      <c r="U1237" s="26"/>
      <c r="V1237" s="26"/>
      <c r="W1237" s="26"/>
      <c r="X1237" s="26"/>
      <c r="Y1237" s="26"/>
      <c r="Z1237" s="26"/>
      <c r="AA1237" s="26"/>
      <c r="AB1237" s="26"/>
      <c r="AC1237" s="26"/>
      <c r="AD1237" s="26"/>
      <c r="AE1237" s="26"/>
      <c r="AF1237" s="26"/>
      <c r="AG1237" s="26"/>
      <c r="AH1237" s="26"/>
      <c r="AI1237" s="26"/>
      <c r="AJ1237" s="26"/>
      <c r="AK1237" s="26"/>
      <c r="AL1237" s="26"/>
      <c r="AM1237" s="26"/>
      <c r="AN1237" s="26"/>
      <c r="AO1237" s="26"/>
      <c r="AP1237" s="26"/>
      <c r="AQ1237" s="26"/>
      <c r="AR1237" s="26"/>
      <c r="AS1237" s="26"/>
      <c r="AT1237" s="26"/>
      <c r="AU1237" s="26"/>
      <c r="AV1237" s="26"/>
      <c r="AW1237" s="26"/>
      <c r="AX1237" s="26"/>
      <c r="AY1237" s="26"/>
    </row>
    <row r="1238" spans="1:51" ht="12.75" customHeight="1" x14ac:dyDescent="0.25">
      <c r="A1238" s="26"/>
      <c r="B1238" s="66"/>
      <c r="C1238" s="67"/>
      <c r="D1238" s="67"/>
      <c r="E1238" s="26"/>
      <c r="F1238" s="26"/>
      <c r="G1238" s="26"/>
      <c r="H1238" s="26"/>
      <c r="I1238" s="26"/>
      <c r="J1238" s="26"/>
      <c r="K1238" s="26"/>
      <c r="L1238" s="26"/>
      <c r="M1238" s="26"/>
      <c r="N1238" s="26"/>
      <c r="O1238" s="26"/>
      <c r="P1238" s="26"/>
      <c r="Q1238" s="26"/>
      <c r="R1238" s="26"/>
      <c r="S1238" s="76"/>
      <c r="T1238" s="26"/>
      <c r="U1238" s="26"/>
      <c r="V1238" s="26"/>
      <c r="W1238" s="26"/>
      <c r="X1238" s="26"/>
      <c r="Y1238" s="26"/>
      <c r="Z1238" s="26"/>
      <c r="AA1238" s="26"/>
      <c r="AB1238" s="26"/>
      <c r="AC1238" s="26"/>
      <c r="AD1238" s="26"/>
      <c r="AE1238" s="26"/>
      <c r="AF1238" s="26"/>
      <c r="AG1238" s="26"/>
      <c r="AH1238" s="26"/>
      <c r="AI1238" s="26"/>
      <c r="AJ1238" s="26"/>
      <c r="AK1238" s="26"/>
      <c r="AL1238" s="26"/>
      <c r="AM1238" s="26"/>
      <c r="AN1238" s="26"/>
      <c r="AO1238" s="26"/>
      <c r="AP1238" s="26"/>
      <c r="AQ1238" s="26"/>
      <c r="AR1238" s="26"/>
      <c r="AS1238" s="26"/>
      <c r="AT1238" s="26"/>
      <c r="AU1238" s="26"/>
      <c r="AV1238" s="26"/>
      <c r="AW1238" s="26"/>
      <c r="AX1238" s="26"/>
      <c r="AY1238" s="26"/>
    </row>
    <row r="1239" spans="1:51" ht="12.75" customHeight="1" x14ac:dyDescent="0.25">
      <c r="A1239" s="26"/>
      <c r="B1239" s="66"/>
      <c r="C1239" s="67"/>
      <c r="D1239" s="67"/>
      <c r="E1239" s="26"/>
      <c r="F1239" s="26"/>
      <c r="G1239" s="26"/>
      <c r="H1239" s="26"/>
      <c r="I1239" s="26"/>
      <c r="J1239" s="26"/>
      <c r="K1239" s="26"/>
      <c r="L1239" s="26"/>
      <c r="M1239" s="26"/>
      <c r="N1239" s="26"/>
      <c r="O1239" s="26"/>
      <c r="P1239" s="26"/>
      <c r="Q1239" s="26"/>
      <c r="R1239" s="26"/>
      <c r="S1239" s="86"/>
      <c r="T1239" s="26"/>
      <c r="U1239" s="26"/>
      <c r="V1239" s="26"/>
      <c r="W1239" s="26"/>
      <c r="X1239" s="26"/>
      <c r="Y1239" s="26"/>
      <c r="Z1239" s="26"/>
      <c r="AA1239" s="26"/>
      <c r="AB1239" s="26"/>
      <c r="AC1239" s="26"/>
      <c r="AD1239" s="26"/>
      <c r="AE1239" s="26"/>
      <c r="AF1239" s="26"/>
      <c r="AG1239" s="26"/>
      <c r="AH1239" s="26"/>
      <c r="AI1239" s="26"/>
      <c r="AJ1239" s="26"/>
      <c r="AK1239" s="26"/>
      <c r="AL1239" s="26"/>
      <c r="AM1239" s="26"/>
      <c r="AN1239" s="26"/>
      <c r="AO1239" s="26"/>
      <c r="AP1239" s="26"/>
      <c r="AQ1239" s="26"/>
      <c r="AR1239" s="26"/>
      <c r="AS1239" s="26"/>
      <c r="AT1239" s="26"/>
      <c r="AU1239" s="26"/>
      <c r="AV1239" s="26"/>
      <c r="AW1239" s="26"/>
      <c r="AX1239" s="26"/>
      <c r="AY1239" s="26"/>
    </row>
    <row r="1240" spans="1:51" ht="12.75" customHeight="1" x14ac:dyDescent="0.25">
      <c r="A1240" s="26"/>
      <c r="B1240" s="66"/>
      <c r="C1240" s="67"/>
      <c r="D1240" s="67"/>
      <c r="E1240" s="26"/>
      <c r="F1240" s="26"/>
      <c r="G1240" s="26"/>
      <c r="H1240" s="26"/>
      <c r="I1240" s="26"/>
      <c r="J1240" s="26"/>
      <c r="K1240" s="26"/>
      <c r="L1240" s="26"/>
      <c r="M1240" s="26"/>
      <c r="N1240" s="26"/>
      <c r="O1240" s="26"/>
      <c r="P1240" s="26"/>
      <c r="Q1240" s="26"/>
      <c r="R1240" s="26"/>
      <c r="S1240" s="86"/>
      <c r="T1240" s="26"/>
      <c r="U1240" s="26"/>
      <c r="V1240" s="26"/>
      <c r="W1240" s="26"/>
      <c r="X1240" s="26"/>
      <c r="Y1240" s="26"/>
      <c r="Z1240" s="26"/>
      <c r="AA1240" s="26"/>
      <c r="AB1240" s="26"/>
      <c r="AC1240" s="26"/>
      <c r="AD1240" s="26"/>
      <c r="AE1240" s="26"/>
      <c r="AF1240" s="26"/>
      <c r="AG1240" s="26"/>
      <c r="AH1240" s="26"/>
      <c r="AI1240" s="26"/>
      <c r="AJ1240" s="26"/>
      <c r="AK1240" s="26"/>
      <c r="AL1240" s="26"/>
      <c r="AM1240" s="26"/>
      <c r="AN1240" s="26"/>
      <c r="AO1240" s="26"/>
      <c r="AP1240" s="26"/>
      <c r="AQ1240" s="26"/>
      <c r="AR1240" s="26"/>
      <c r="AS1240" s="26"/>
      <c r="AT1240" s="26"/>
      <c r="AU1240" s="26"/>
      <c r="AV1240" s="26"/>
      <c r="AW1240" s="26"/>
      <c r="AX1240" s="26"/>
      <c r="AY1240" s="26"/>
    </row>
    <row r="1241" spans="1:51" ht="12.75" customHeight="1" x14ac:dyDescent="0.25">
      <c r="A1241" s="26"/>
      <c r="B1241" s="66"/>
      <c r="C1241" s="67"/>
      <c r="D1241" s="67"/>
      <c r="E1241" s="26"/>
      <c r="F1241" s="26"/>
      <c r="G1241" s="26"/>
      <c r="H1241" s="26"/>
      <c r="I1241" s="26"/>
      <c r="J1241" s="26"/>
      <c r="K1241" s="26"/>
      <c r="L1241" s="26"/>
      <c r="M1241" s="26"/>
      <c r="N1241" s="26"/>
      <c r="O1241" s="26"/>
      <c r="P1241" s="26"/>
      <c r="Q1241" s="26"/>
      <c r="R1241" s="26"/>
      <c r="S1241" s="86"/>
      <c r="T1241" s="26"/>
      <c r="U1241" s="26"/>
      <c r="V1241" s="26"/>
      <c r="W1241" s="26"/>
      <c r="X1241" s="26"/>
      <c r="Y1241" s="26"/>
      <c r="Z1241" s="26"/>
      <c r="AA1241" s="26"/>
      <c r="AB1241" s="26"/>
      <c r="AC1241" s="26"/>
      <c r="AD1241" s="26"/>
      <c r="AE1241" s="26"/>
      <c r="AF1241" s="26"/>
      <c r="AG1241" s="26"/>
      <c r="AH1241" s="26"/>
      <c r="AI1241" s="26"/>
      <c r="AJ1241" s="26"/>
      <c r="AK1241" s="26"/>
      <c r="AL1241" s="26"/>
      <c r="AM1241" s="26"/>
      <c r="AN1241" s="26"/>
      <c r="AO1241" s="26"/>
      <c r="AP1241" s="26"/>
      <c r="AQ1241" s="26"/>
      <c r="AR1241" s="26"/>
      <c r="AS1241" s="26"/>
      <c r="AT1241" s="26"/>
      <c r="AU1241" s="26"/>
      <c r="AV1241" s="26"/>
      <c r="AW1241" s="26"/>
      <c r="AX1241" s="26"/>
      <c r="AY1241" s="26"/>
    </row>
    <row r="1242" spans="1:51" ht="12.75" customHeight="1" x14ac:dyDescent="0.25">
      <c r="A1242" s="26"/>
      <c r="B1242" s="66"/>
      <c r="C1242" s="67"/>
      <c r="D1242" s="67"/>
      <c r="E1242" s="26"/>
      <c r="F1242" s="26"/>
      <c r="G1242" s="26"/>
      <c r="H1242" s="26"/>
      <c r="I1242" s="26"/>
      <c r="J1242" s="26"/>
      <c r="K1242" s="26"/>
      <c r="L1242" s="26"/>
      <c r="M1242" s="26"/>
      <c r="N1242" s="26"/>
      <c r="O1242" s="26"/>
      <c r="P1242" s="26"/>
      <c r="Q1242" s="26"/>
      <c r="R1242" s="26"/>
      <c r="S1242" s="86"/>
      <c r="T1242" s="26"/>
      <c r="U1242" s="26"/>
      <c r="V1242" s="26"/>
      <c r="W1242" s="26"/>
      <c r="X1242" s="26"/>
      <c r="Y1242" s="26"/>
      <c r="Z1242" s="26"/>
      <c r="AA1242" s="26"/>
      <c r="AB1242" s="26"/>
      <c r="AC1242" s="26"/>
      <c r="AD1242" s="26"/>
      <c r="AE1242" s="26"/>
      <c r="AF1242" s="26"/>
      <c r="AG1242" s="26"/>
      <c r="AH1242" s="26"/>
      <c r="AI1242" s="26"/>
      <c r="AJ1242" s="26"/>
      <c r="AK1242" s="26"/>
      <c r="AL1242" s="26"/>
      <c r="AM1242" s="26"/>
      <c r="AN1242" s="26"/>
      <c r="AO1242" s="26"/>
      <c r="AP1242" s="26"/>
      <c r="AQ1242" s="26"/>
      <c r="AR1242" s="26"/>
      <c r="AS1242" s="26"/>
      <c r="AT1242" s="26"/>
      <c r="AU1242" s="26"/>
      <c r="AV1242" s="26"/>
      <c r="AW1242" s="26"/>
      <c r="AX1242" s="26"/>
      <c r="AY1242" s="26"/>
    </row>
    <row r="1243" spans="1:51" ht="12.75" customHeight="1" x14ac:dyDescent="0.25">
      <c r="A1243" s="26"/>
      <c r="B1243" s="66"/>
      <c r="C1243" s="67"/>
      <c r="D1243" s="67"/>
      <c r="E1243" s="26"/>
      <c r="F1243" s="26"/>
      <c r="G1243" s="26"/>
      <c r="H1243" s="26"/>
      <c r="I1243" s="26"/>
      <c r="J1243" s="26"/>
      <c r="K1243" s="26"/>
      <c r="L1243" s="26"/>
      <c r="M1243" s="26"/>
      <c r="N1243" s="26"/>
      <c r="O1243" s="26"/>
      <c r="P1243" s="26"/>
      <c r="Q1243" s="26"/>
      <c r="R1243" s="26"/>
      <c r="S1243" s="86"/>
      <c r="T1243" s="26"/>
      <c r="U1243" s="26"/>
      <c r="V1243" s="26"/>
      <c r="W1243" s="26"/>
      <c r="X1243" s="26"/>
      <c r="Y1243" s="26"/>
      <c r="Z1243" s="26"/>
      <c r="AA1243" s="26"/>
      <c r="AB1243" s="26"/>
      <c r="AC1243" s="26"/>
      <c r="AD1243" s="26"/>
      <c r="AE1243" s="26"/>
      <c r="AF1243" s="26"/>
      <c r="AG1243" s="26"/>
      <c r="AH1243" s="26"/>
      <c r="AI1243" s="26"/>
      <c r="AJ1243" s="26"/>
      <c r="AK1243" s="26"/>
      <c r="AL1243" s="26"/>
      <c r="AM1243" s="26"/>
      <c r="AN1243" s="26"/>
      <c r="AO1243" s="26"/>
      <c r="AP1243" s="26"/>
      <c r="AQ1243" s="26"/>
      <c r="AR1243" s="26"/>
      <c r="AS1243" s="26"/>
      <c r="AT1243" s="26"/>
      <c r="AU1243" s="26"/>
      <c r="AV1243" s="26"/>
      <c r="AW1243" s="26"/>
      <c r="AX1243" s="26"/>
      <c r="AY1243" s="26"/>
    </row>
    <row r="1244" spans="1:51" ht="12.75" customHeight="1" x14ac:dyDescent="0.25">
      <c r="A1244" s="26"/>
      <c r="B1244" s="66"/>
      <c r="C1244" s="67"/>
      <c r="D1244" s="67"/>
      <c r="E1244" s="26"/>
      <c r="F1244" s="26"/>
      <c r="G1244" s="26"/>
      <c r="H1244" s="26"/>
      <c r="I1244" s="26"/>
      <c r="J1244" s="26"/>
      <c r="K1244" s="26"/>
      <c r="L1244" s="26"/>
      <c r="M1244" s="26"/>
      <c r="N1244" s="26"/>
      <c r="O1244" s="26"/>
      <c r="P1244" s="26"/>
      <c r="Q1244" s="26"/>
      <c r="R1244" s="26"/>
      <c r="S1244" s="86"/>
      <c r="T1244" s="26"/>
      <c r="U1244" s="26"/>
      <c r="V1244" s="26"/>
      <c r="W1244" s="26"/>
      <c r="X1244" s="26"/>
      <c r="Y1244" s="26"/>
      <c r="Z1244" s="26"/>
      <c r="AA1244" s="26"/>
      <c r="AB1244" s="26"/>
      <c r="AC1244" s="26"/>
      <c r="AD1244" s="26"/>
      <c r="AE1244" s="26"/>
      <c r="AF1244" s="26"/>
      <c r="AG1244" s="26"/>
      <c r="AH1244" s="26"/>
      <c r="AI1244" s="26"/>
      <c r="AJ1244" s="26"/>
      <c r="AK1244" s="26"/>
      <c r="AL1244" s="26"/>
      <c r="AM1244" s="26"/>
      <c r="AN1244" s="26"/>
      <c r="AO1244" s="26"/>
      <c r="AP1244" s="26"/>
      <c r="AQ1244" s="26"/>
      <c r="AR1244" s="26"/>
      <c r="AS1244" s="26"/>
      <c r="AT1244" s="26"/>
      <c r="AU1244" s="26"/>
      <c r="AV1244" s="26"/>
      <c r="AW1244" s="26"/>
      <c r="AX1244" s="26"/>
      <c r="AY1244" s="26"/>
    </row>
    <row r="1245" spans="1:51" ht="12.75" customHeight="1" x14ac:dyDescent="0.25">
      <c r="A1245" s="26"/>
      <c r="B1245" s="66"/>
      <c r="C1245" s="67"/>
      <c r="D1245" s="67"/>
      <c r="E1245" s="26"/>
      <c r="F1245" s="26"/>
      <c r="G1245" s="26"/>
      <c r="H1245" s="26"/>
      <c r="I1245" s="26"/>
      <c r="J1245" s="26"/>
      <c r="K1245" s="26"/>
      <c r="L1245" s="26"/>
      <c r="M1245" s="26"/>
      <c r="N1245" s="26"/>
      <c r="O1245" s="26"/>
      <c r="P1245" s="26"/>
      <c r="Q1245" s="26"/>
      <c r="R1245" s="26"/>
      <c r="S1245" s="86"/>
      <c r="T1245" s="26"/>
      <c r="U1245" s="26"/>
      <c r="V1245" s="26"/>
      <c r="W1245" s="26"/>
      <c r="X1245" s="26"/>
      <c r="Y1245" s="26"/>
      <c r="Z1245" s="26"/>
      <c r="AA1245" s="26"/>
      <c r="AB1245" s="26"/>
      <c r="AC1245" s="26"/>
      <c r="AD1245" s="26"/>
      <c r="AE1245" s="26"/>
      <c r="AF1245" s="26"/>
      <c r="AG1245" s="26"/>
      <c r="AH1245" s="26"/>
      <c r="AI1245" s="26"/>
      <c r="AJ1245" s="26"/>
      <c r="AK1245" s="26"/>
      <c r="AL1245" s="26"/>
      <c r="AM1245" s="26"/>
      <c r="AN1245" s="26"/>
      <c r="AO1245" s="26"/>
      <c r="AP1245" s="26"/>
      <c r="AQ1245" s="26"/>
      <c r="AR1245" s="26"/>
      <c r="AS1245" s="26"/>
      <c r="AT1245" s="26"/>
      <c r="AU1245" s="26"/>
      <c r="AV1245" s="26"/>
      <c r="AW1245" s="26"/>
      <c r="AX1245" s="26"/>
      <c r="AY1245" s="26"/>
    </row>
    <row r="1246" spans="1:51" ht="12.75" customHeight="1" x14ac:dyDescent="0.25">
      <c r="A1246" s="26"/>
      <c r="B1246" s="66"/>
      <c r="C1246" s="67"/>
      <c r="D1246" s="67"/>
      <c r="E1246" s="26"/>
      <c r="F1246" s="26"/>
      <c r="G1246" s="26"/>
      <c r="H1246" s="26"/>
      <c r="I1246" s="26"/>
      <c r="J1246" s="26"/>
      <c r="K1246" s="26"/>
      <c r="L1246" s="26"/>
      <c r="M1246" s="26"/>
      <c r="N1246" s="26"/>
      <c r="O1246" s="26"/>
      <c r="P1246" s="26"/>
      <c r="Q1246" s="26"/>
      <c r="R1246" s="26"/>
      <c r="S1246" s="86"/>
      <c r="T1246" s="26"/>
      <c r="U1246" s="26"/>
      <c r="V1246" s="26"/>
      <c r="W1246" s="26"/>
      <c r="X1246" s="26"/>
      <c r="Y1246" s="26"/>
      <c r="Z1246" s="26"/>
      <c r="AA1246" s="26"/>
      <c r="AB1246" s="26"/>
      <c r="AC1246" s="26"/>
      <c r="AD1246" s="26"/>
      <c r="AE1246" s="26"/>
      <c r="AF1246" s="26"/>
      <c r="AG1246" s="26"/>
      <c r="AH1246" s="26"/>
      <c r="AI1246" s="26"/>
      <c r="AJ1246" s="26"/>
      <c r="AK1246" s="26"/>
      <c r="AL1246" s="26"/>
      <c r="AM1246" s="26"/>
      <c r="AN1246" s="26"/>
      <c r="AO1246" s="26"/>
      <c r="AP1246" s="26"/>
      <c r="AQ1246" s="26"/>
      <c r="AR1246" s="26"/>
      <c r="AS1246" s="26"/>
      <c r="AT1246" s="26"/>
      <c r="AU1246" s="26"/>
      <c r="AV1246" s="26"/>
      <c r="AW1246" s="26"/>
      <c r="AX1246" s="26"/>
      <c r="AY1246" s="26"/>
    </row>
    <row r="1247" spans="1:51" ht="12.75" customHeight="1" x14ac:dyDescent="0.25">
      <c r="A1247" s="26"/>
      <c r="B1247" s="66"/>
      <c r="C1247" s="67"/>
      <c r="D1247" s="67"/>
      <c r="E1247" s="26"/>
      <c r="F1247" s="26"/>
      <c r="G1247" s="26"/>
      <c r="H1247" s="26"/>
      <c r="I1247" s="26"/>
      <c r="J1247" s="26"/>
      <c r="K1247" s="26"/>
      <c r="L1247" s="26"/>
      <c r="M1247" s="26"/>
      <c r="N1247" s="26"/>
      <c r="O1247" s="26"/>
      <c r="P1247" s="26"/>
      <c r="Q1247" s="26"/>
      <c r="R1247" s="26"/>
      <c r="S1247" s="67"/>
      <c r="T1247" s="26"/>
      <c r="U1247" s="26"/>
      <c r="V1247" s="26"/>
      <c r="W1247" s="26"/>
      <c r="X1247" s="26"/>
      <c r="Y1247" s="26"/>
      <c r="Z1247" s="26"/>
      <c r="AA1247" s="26"/>
      <c r="AB1247" s="26"/>
      <c r="AC1247" s="26"/>
      <c r="AD1247" s="26"/>
      <c r="AE1247" s="26"/>
      <c r="AF1247" s="26"/>
      <c r="AG1247" s="26"/>
      <c r="AH1247" s="26"/>
      <c r="AI1247" s="26"/>
      <c r="AJ1247" s="26"/>
      <c r="AK1247" s="26"/>
      <c r="AL1247" s="26"/>
      <c r="AM1247" s="26"/>
      <c r="AN1247" s="26"/>
      <c r="AO1247" s="26"/>
      <c r="AP1247" s="26"/>
      <c r="AQ1247" s="26"/>
      <c r="AR1247" s="26"/>
      <c r="AS1247" s="26"/>
      <c r="AT1247" s="26"/>
      <c r="AU1247" s="26"/>
      <c r="AV1247" s="26"/>
      <c r="AW1247" s="26"/>
      <c r="AX1247" s="26"/>
      <c r="AY1247" s="26"/>
    </row>
    <row r="1248" spans="1:51" ht="12.75" customHeight="1" x14ac:dyDescent="0.25">
      <c r="A1248" s="26"/>
      <c r="B1248" s="66"/>
      <c r="C1248" s="67"/>
      <c r="D1248" s="67"/>
      <c r="E1248" s="26"/>
      <c r="F1248" s="26"/>
      <c r="G1248" s="26"/>
      <c r="H1248" s="26"/>
      <c r="I1248" s="26"/>
      <c r="J1248" s="26"/>
      <c r="K1248" s="26"/>
      <c r="L1248" s="26"/>
      <c r="M1248" s="26"/>
      <c r="N1248" s="26"/>
      <c r="O1248" s="26"/>
      <c r="P1248" s="26"/>
      <c r="Q1248" s="26"/>
      <c r="R1248" s="26"/>
      <c r="S1248" s="26"/>
      <c r="T1248" s="26"/>
      <c r="U1248" s="26"/>
      <c r="V1248" s="26"/>
      <c r="W1248" s="26"/>
      <c r="X1248" s="26"/>
      <c r="Y1248" s="26"/>
      <c r="Z1248" s="26"/>
      <c r="AA1248" s="26"/>
      <c r="AB1248" s="26"/>
      <c r="AC1248" s="26"/>
      <c r="AD1248" s="26"/>
      <c r="AE1248" s="26"/>
      <c r="AF1248" s="26"/>
      <c r="AG1248" s="26"/>
      <c r="AH1248" s="26"/>
      <c r="AI1248" s="26"/>
      <c r="AJ1248" s="26"/>
      <c r="AK1248" s="26"/>
      <c r="AL1248" s="26"/>
      <c r="AM1248" s="26"/>
      <c r="AN1248" s="26"/>
      <c r="AO1248" s="26"/>
      <c r="AP1248" s="26"/>
      <c r="AQ1248" s="26"/>
      <c r="AR1248" s="26"/>
      <c r="AS1248" s="26"/>
      <c r="AT1248" s="26"/>
      <c r="AU1248" s="26"/>
      <c r="AV1248" s="26"/>
      <c r="AW1248" s="26"/>
      <c r="AX1248" s="26"/>
      <c r="AY1248" s="26"/>
    </row>
    <row r="1249" spans="1:51" ht="12.75" customHeight="1" x14ac:dyDescent="0.25">
      <c r="A1249" s="26"/>
      <c r="B1249" s="66"/>
      <c r="C1249" s="67"/>
      <c r="D1249" s="67"/>
      <c r="E1249" s="26"/>
      <c r="F1249" s="26"/>
      <c r="G1249" s="26"/>
      <c r="H1249" s="26"/>
      <c r="I1249" s="26"/>
      <c r="J1249" s="26"/>
      <c r="K1249" s="26"/>
      <c r="L1249" s="26"/>
      <c r="M1249" s="26"/>
      <c r="N1249" s="26"/>
      <c r="O1249" s="26"/>
      <c r="P1249" s="26"/>
      <c r="Q1249" s="26"/>
      <c r="R1249" s="26"/>
      <c r="S1249" s="26"/>
      <c r="T1249" s="26"/>
      <c r="U1249" s="26"/>
      <c r="V1249" s="26"/>
      <c r="W1249" s="26"/>
      <c r="X1249" s="26"/>
      <c r="Y1249" s="26"/>
      <c r="Z1249" s="26"/>
      <c r="AA1249" s="26"/>
      <c r="AB1249" s="26"/>
      <c r="AC1249" s="26"/>
      <c r="AD1249" s="26"/>
      <c r="AE1249" s="26"/>
      <c r="AF1249" s="26"/>
      <c r="AG1249" s="26"/>
      <c r="AH1249" s="26"/>
      <c r="AI1249" s="26"/>
      <c r="AJ1249" s="26"/>
      <c r="AK1249" s="26"/>
      <c r="AL1249" s="26"/>
      <c r="AM1249" s="26"/>
      <c r="AN1249" s="26"/>
      <c r="AO1249" s="26"/>
      <c r="AP1249" s="26"/>
      <c r="AQ1249" s="26"/>
      <c r="AR1249" s="26"/>
      <c r="AS1249" s="26"/>
      <c r="AT1249" s="26"/>
      <c r="AU1249" s="26"/>
      <c r="AV1249" s="26"/>
      <c r="AW1249" s="26"/>
      <c r="AX1249" s="26"/>
      <c r="AY1249" s="26"/>
    </row>
    <row r="1250" spans="1:51" ht="12.75" customHeight="1" x14ac:dyDescent="0.25">
      <c r="A1250" s="26"/>
      <c r="B1250" s="66"/>
      <c r="C1250" s="67"/>
      <c r="D1250" s="67"/>
      <c r="E1250" s="26"/>
      <c r="F1250" s="26"/>
      <c r="G1250" s="26"/>
      <c r="H1250" s="26"/>
      <c r="I1250" s="26"/>
      <c r="J1250" s="26"/>
      <c r="K1250" s="26"/>
      <c r="L1250" s="26"/>
      <c r="M1250" s="26"/>
      <c r="N1250" s="26"/>
      <c r="O1250" s="26"/>
      <c r="P1250" s="26"/>
      <c r="Q1250" s="26"/>
      <c r="R1250" s="26"/>
      <c r="S1250" s="26"/>
      <c r="T1250" s="26"/>
      <c r="U1250" s="26"/>
      <c r="V1250" s="26"/>
      <c r="W1250" s="26"/>
      <c r="X1250" s="26"/>
      <c r="Y1250" s="26"/>
      <c r="Z1250" s="26"/>
      <c r="AA1250" s="26"/>
      <c r="AB1250" s="26"/>
      <c r="AC1250" s="26"/>
      <c r="AD1250" s="26"/>
      <c r="AE1250" s="26"/>
      <c r="AF1250" s="26"/>
      <c r="AG1250" s="26"/>
      <c r="AH1250" s="26"/>
      <c r="AI1250" s="26"/>
      <c r="AJ1250" s="26"/>
      <c r="AK1250" s="26"/>
      <c r="AL1250" s="26"/>
      <c r="AM1250" s="26"/>
      <c r="AN1250" s="26"/>
      <c r="AO1250" s="26"/>
      <c r="AP1250" s="26"/>
      <c r="AQ1250" s="26"/>
      <c r="AR1250" s="26"/>
      <c r="AS1250" s="26"/>
      <c r="AT1250" s="26"/>
      <c r="AU1250" s="26"/>
      <c r="AV1250" s="26"/>
      <c r="AW1250" s="26"/>
      <c r="AX1250" s="26"/>
      <c r="AY1250" s="26"/>
    </row>
    <row r="1251" spans="1:51" ht="12.75" customHeight="1" x14ac:dyDescent="0.25">
      <c r="A1251" s="26"/>
      <c r="B1251" s="66"/>
      <c r="C1251" s="67"/>
      <c r="D1251" s="67"/>
      <c r="E1251" s="26"/>
      <c r="F1251" s="26"/>
      <c r="G1251" s="26"/>
      <c r="H1251" s="26"/>
      <c r="I1251" s="26"/>
      <c r="J1251" s="26"/>
      <c r="K1251" s="26"/>
      <c r="L1251" s="26"/>
      <c r="M1251" s="26"/>
      <c r="N1251" s="26"/>
      <c r="O1251" s="26"/>
      <c r="P1251" s="26"/>
      <c r="Q1251" s="26"/>
      <c r="R1251" s="26"/>
      <c r="S1251" s="26"/>
      <c r="T1251" s="26"/>
      <c r="U1251" s="26"/>
      <c r="V1251" s="26"/>
      <c r="W1251" s="26"/>
      <c r="X1251" s="26"/>
      <c r="Y1251" s="26"/>
      <c r="Z1251" s="26"/>
      <c r="AA1251" s="26"/>
      <c r="AB1251" s="26"/>
      <c r="AC1251" s="26"/>
      <c r="AD1251" s="26"/>
      <c r="AE1251" s="26"/>
      <c r="AF1251" s="26"/>
      <c r="AG1251" s="26"/>
      <c r="AH1251" s="26"/>
      <c r="AI1251" s="26"/>
      <c r="AJ1251" s="26"/>
      <c r="AK1251" s="26"/>
      <c r="AL1251" s="26"/>
      <c r="AM1251" s="26"/>
      <c r="AN1251" s="26"/>
      <c r="AO1251" s="26"/>
      <c r="AP1251" s="26"/>
      <c r="AQ1251" s="26"/>
      <c r="AR1251" s="26"/>
      <c r="AS1251" s="26"/>
      <c r="AT1251" s="26"/>
      <c r="AU1251" s="26"/>
      <c r="AV1251" s="26"/>
      <c r="AW1251" s="26"/>
      <c r="AX1251" s="26"/>
      <c r="AY1251" s="26"/>
    </row>
    <row r="1252" spans="1:51" ht="12.75" customHeight="1" x14ac:dyDescent="0.25">
      <c r="A1252" s="26"/>
      <c r="B1252" s="66"/>
      <c r="C1252" s="67"/>
      <c r="D1252" s="67"/>
      <c r="E1252" s="26"/>
      <c r="F1252" s="26"/>
      <c r="G1252" s="26"/>
      <c r="H1252" s="26"/>
      <c r="I1252" s="26"/>
      <c r="J1252" s="26"/>
      <c r="K1252" s="26"/>
      <c r="L1252" s="26"/>
      <c r="M1252" s="26"/>
      <c r="N1252" s="26"/>
      <c r="O1252" s="26"/>
      <c r="P1252" s="26"/>
      <c r="Q1252" s="26"/>
      <c r="R1252" s="26"/>
      <c r="S1252" s="26"/>
      <c r="T1252" s="26"/>
      <c r="U1252" s="26"/>
      <c r="V1252" s="26"/>
      <c r="W1252" s="26"/>
      <c r="X1252" s="26"/>
      <c r="Y1252" s="26"/>
      <c r="Z1252" s="26"/>
      <c r="AA1252" s="26"/>
      <c r="AB1252" s="26"/>
      <c r="AC1252" s="26"/>
      <c r="AD1252" s="26"/>
      <c r="AE1252" s="26"/>
      <c r="AF1252" s="26"/>
      <c r="AG1252" s="26"/>
      <c r="AH1252" s="26"/>
      <c r="AI1252" s="26"/>
      <c r="AJ1252" s="26"/>
      <c r="AK1252" s="26"/>
      <c r="AL1252" s="26"/>
      <c r="AM1252" s="26"/>
      <c r="AN1252" s="26"/>
      <c r="AO1252" s="26"/>
      <c r="AP1252" s="26"/>
      <c r="AQ1252" s="26"/>
      <c r="AR1252" s="26"/>
      <c r="AS1252" s="26"/>
      <c r="AT1252" s="26"/>
      <c r="AU1252" s="26"/>
      <c r="AV1252" s="26"/>
      <c r="AW1252" s="26"/>
      <c r="AX1252" s="26"/>
      <c r="AY1252" s="26"/>
    </row>
    <row r="1253" spans="1:51" ht="12.75" customHeight="1" x14ac:dyDescent="0.25">
      <c r="A1253" s="26"/>
      <c r="B1253" s="66"/>
      <c r="C1253" s="67"/>
      <c r="D1253" s="67"/>
      <c r="E1253" s="26"/>
      <c r="F1253" s="26"/>
      <c r="G1253" s="26"/>
      <c r="H1253" s="26"/>
      <c r="I1253" s="26"/>
      <c r="J1253" s="26"/>
      <c r="K1253" s="26"/>
      <c r="L1253" s="26"/>
      <c r="M1253" s="26"/>
      <c r="N1253" s="26"/>
      <c r="O1253" s="26"/>
      <c r="P1253" s="26"/>
      <c r="Q1253" s="26"/>
      <c r="R1253" s="26"/>
      <c r="S1253" s="26"/>
      <c r="T1253" s="26"/>
      <c r="U1253" s="26"/>
      <c r="V1253" s="26"/>
      <c r="W1253" s="26"/>
      <c r="X1253" s="26"/>
      <c r="Y1253" s="26"/>
      <c r="Z1253" s="26"/>
      <c r="AA1253" s="26"/>
      <c r="AB1253" s="26"/>
      <c r="AC1253" s="26"/>
      <c r="AD1253" s="26"/>
      <c r="AE1253" s="26"/>
      <c r="AF1253" s="26"/>
      <c r="AG1253" s="26"/>
      <c r="AH1253" s="26"/>
      <c r="AI1253" s="26"/>
      <c r="AJ1253" s="26"/>
      <c r="AK1253" s="26"/>
      <c r="AL1253" s="26"/>
      <c r="AM1253" s="26"/>
      <c r="AN1253" s="26"/>
      <c r="AO1253" s="26"/>
      <c r="AP1253" s="26"/>
      <c r="AQ1253" s="26"/>
      <c r="AR1253" s="26"/>
      <c r="AS1253" s="26"/>
      <c r="AT1253" s="26"/>
      <c r="AU1253" s="26"/>
      <c r="AV1253" s="26"/>
      <c r="AW1253" s="26"/>
      <c r="AX1253" s="26"/>
      <c r="AY1253" s="26"/>
    </row>
    <row r="1254" spans="1:51" ht="12.75" customHeight="1" x14ac:dyDescent="0.25">
      <c r="A1254" s="26"/>
      <c r="B1254" s="66"/>
      <c r="C1254" s="67"/>
      <c r="D1254" s="67"/>
      <c r="E1254" s="26"/>
      <c r="F1254" s="26"/>
      <c r="G1254" s="26"/>
      <c r="H1254" s="26"/>
      <c r="I1254" s="26"/>
      <c r="J1254" s="26"/>
      <c r="K1254" s="26"/>
      <c r="L1254" s="26"/>
      <c r="M1254" s="26"/>
      <c r="N1254" s="26"/>
      <c r="O1254" s="26"/>
      <c r="P1254" s="26"/>
      <c r="Q1254" s="26"/>
      <c r="R1254" s="26"/>
      <c r="S1254" s="26"/>
      <c r="T1254" s="26"/>
      <c r="U1254" s="26"/>
      <c r="V1254" s="26"/>
      <c r="W1254" s="26"/>
      <c r="X1254" s="26"/>
      <c r="Y1254" s="26"/>
      <c r="Z1254" s="26"/>
      <c r="AA1254" s="26"/>
      <c r="AB1254" s="26"/>
      <c r="AC1254" s="26"/>
      <c r="AD1254" s="26"/>
      <c r="AE1254" s="26"/>
      <c r="AF1254" s="26"/>
      <c r="AG1254" s="26"/>
      <c r="AH1254" s="26"/>
      <c r="AI1254" s="26"/>
      <c r="AJ1254" s="26"/>
      <c r="AK1254" s="26"/>
      <c r="AL1254" s="26"/>
      <c r="AM1254" s="26"/>
      <c r="AN1254" s="26"/>
      <c r="AO1254" s="26"/>
      <c r="AP1254" s="26"/>
      <c r="AQ1254" s="26"/>
      <c r="AR1254" s="26"/>
      <c r="AS1254" s="26"/>
      <c r="AT1254" s="26"/>
      <c r="AU1254" s="26"/>
      <c r="AV1254" s="26"/>
      <c r="AW1254" s="26"/>
      <c r="AX1254" s="26"/>
      <c r="AY1254" s="26"/>
    </row>
    <row r="1255" spans="1:51" ht="12.75" customHeight="1" x14ac:dyDescent="0.25">
      <c r="A1255" s="26"/>
      <c r="B1255" s="66"/>
      <c r="C1255" s="67"/>
      <c r="D1255" s="67"/>
      <c r="E1255" s="26"/>
      <c r="F1255" s="26"/>
      <c r="G1255" s="26"/>
      <c r="H1255" s="26"/>
      <c r="I1255" s="26"/>
      <c r="J1255" s="26"/>
      <c r="K1255" s="26"/>
      <c r="L1255" s="26"/>
      <c r="M1255" s="26"/>
      <c r="N1255" s="26"/>
      <c r="O1255" s="26"/>
      <c r="P1255" s="26"/>
      <c r="Q1255" s="26"/>
      <c r="R1255" s="26"/>
      <c r="S1255" s="26"/>
      <c r="T1255" s="26"/>
      <c r="U1255" s="26"/>
      <c r="V1255" s="26"/>
      <c r="W1255" s="26"/>
      <c r="X1255" s="26"/>
      <c r="Y1255" s="26"/>
      <c r="Z1255" s="26"/>
      <c r="AA1255" s="26"/>
      <c r="AB1255" s="26"/>
      <c r="AC1255" s="26"/>
      <c r="AD1255" s="26"/>
      <c r="AE1255" s="26"/>
      <c r="AF1255" s="26"/>
      <c r="AG1255" s="26"/>
      <c r="AH1255" s="26"/>
      <c r="AI1255" s="26"/>
      <c r="AJ1255" s="26"/>
      <c r="AK1255" s="26"/>
      <c r="AL1255" s="26"/>
      <c r="AM1255" s="26"/>
      <c r="AN1255" s="26"/>
      <c r="AO1255" s="26"/>
      <c r="AP1255" s="26"/>
      <c r="AQ1255" s="26"/>
      <c r="AR1255" s="26"/>
      <c r="AS1255" s="26"/>
      <c r="AT1255" s="26"/>
      <c r="AU1255" s="26"/>
      <c r="AV1255" s="26"/>
      <c r="AW1255" s="26"/>
      <c r="AX1255" s="26"/>
      <c r="AY1255" s="26"/>
    </row>
    <row r="1256" spans="1:51" ht="12.75" customHeight="1" x14ac:dyDescent="0.25">
      <c r="A1256" s="26"/>
      <c r="B1256" s="66"/>
      <c r="C1256" s="67"/>
      <c r="D1256" s="67"/>
      <c r="E1256" s="26"/>
      <c r="F1256" s="26"/>
      <c r="G1256" s="26"/>
      <c r="H1256" s="26"/>
      <c r="I1256" s="26"/>
      <c r="J1256" s="26"/>
      <c r="K1256" s="26"/>
      <c r="L1256" s="26"/>
      <c r="M1256" s="26"/>
      <c r="N1256" s="26"/>
      <c r="O1256" s="26"/>
      <c r="P1256" s="26"/>
      <c r="Q1256" s="26"/>
      <c r="R1256" s="26"/>
      <c r="S1256" s="26"/>
      <c r="T1256" s="26"/>
      <c r="U1256" s="26"/>
      <c r="V1256" s="26"/>
      <c r="W1256" s="26"/>
      <c r="X1256" s="26"/>
      <c r="Y1256" s="26"/>
      <c r="Z1256" s="26"/>
      <c r="AA1256" s="26"/>
      <c r="AB1256" s="26"/>
      <c r="AC1256" s="26"/>
      <c r="AD1256" s="26"/>
      <c r="AE1256" s="26"/>
      <c r="AF1256" s="26"/>
      <c r="AG1256" s="26"/>
      <c r="AH1256" s="26"/>
      <c r="AI1256" s="26"/>
      <c r="AJ1256" s="26"/>
      <c r="AK1256" s="26"/>
      <c r="AL1256" s="26"/>
      <c r="AM1256" s="26"/>
      <c r="AN1256" s="26"/>
      <c r="AO1256" s="26"/>
      <c r="AP1256" s="26"/>
      <c r="AQ1256" s="26"/>
      <c r="AR1256" s="26"/>
      <c r="AS1256" s="26"/>
      <c r="AT1256" s="26"/>
      <c r="AU1256" s="26"/>
      <c r="AV1256" s="26"/>
      <c r="AW1256" s="26"/>
      <c r="AX1256" s="26"/>
      <c r="AY1256" s="26"/>
    </row>
    <row r="1257" spans="1:51" ht="12.75" customHeight="1" x14ac:dyDescent="0.25">
      <c r="A1257" s="26"/>
      <c r="B1257" s="66"/>
      <c r="C1257" s="67"/>
      <c r="D1257" s="67"/>
      <c r="E1257" s="26"/>
      <c r="F1257" s="26"/>
      <c r="G1257" s="26"/>
      <c r="H1257" s="26"/>
      <c r="I1257" s="26"/>
      <c r="J1257" s="26"/>
      <c r="K1257" s="26"/>
      <c r="L1257" s="26"/>
      <c r="M1257" s="26"/>
      <c r="N1257" s="26"/>
      <c r="O1257" s="26"/>
      <c r="P1257" s="26"/>
      <c r="Q1257" s="26"/>
      <c r="R1257" s="26"/>
      <c r="S1257" s="26"/>
      <c r="T1257" s="26"/>
      <c r="U1257" s="26"/>
      <c r="V1257" s="26"/>
      <c r="W1257" s="26"/>
      <c r="X1257" s="26"/>
      <c r="Y1257" s="26"/>
      <c r="Z1257" s="26"/>
      <c r="AA1257" s="26"/>
      <c r="AB1257" s="26"/>
      <c r="AC1257" s="26"/>
      <c r="AD1257" s="26"/>
      <c r="AE1257" s="26"/>
      <c r="AF1257" s="26"/>
      <c r="AG1257" s="26"/>
      <c r="AH1257" s="26"/>
      <c r="AI1257" s="26"/>
      <c r="AJ1257" s="26"/>
      <c r="AK1257" s="26"/>
      <c r="AL1257" s="26"/>
      <c r="AM1257" s="26"/>
      <c r="AN1257" s="26"/>
      <c r="AO1257" s="26"/>
      <c r="AP1257" s="26"/>
      <c r="AQ1257" s="26"/>
      <c r="AR1257" s="26"/>
      <c r="AS1257" s="26"/>
      <c r="AT1257" s="26"/>
      <c r="AU1257" s="26"/>
      <c r="AV1257" s="26"/>
      <c r="AW1257" s="26"/>
      <c r="AX1257" s="26"/>
      <c r="AY1257" s="26"/>
    </row>
    <row r="1258" spans="1:51" ht="12.75" customHeight="1" x14ac:dyDescent="0.25">
      <c r="A1258" s="26"/>
      <c r="B1258" s="66"/>
      <c r="C1258" s="67"/>
      <c r="D1258" s="67"/>
      <c r="E1258" s="26"/>
      <c r="F1258" s="26"/>
      <c r="G1258" s="26"/>
      <c r="H1258" s="26"/>
      <c r="I1258" s="26"/>
      <c r="J1258" s="26"/>
      <c r="K1258" s="26"/>
      <c r="L1258" s="26"/>
      <c r="M1258" s="26"/>
      <c r="N1258" s="26"/>
      <c r="O1258" s="26"/>
      <c r="P1258" s="26"/>
      <c r="Q1258" s="26"/>
      <c r="R1258" s="26"/>
      <c r="S1258" s="26"/>
      <c r="T1258" s="26"/>
      <c r="U1258" s="26"/>
      <c r="V1258" s="26"/>
      <c r="W1258" s="26"/>
      <c r="X1258" s="26"/>
      <c r="Y1258" s="26"/>
      <c r="Z1258" s="26"/>
      <c r="AA1258" s="26"/>
      <c r="AB1258" s="26"/>
      <c r="AC1258" s="26"/>
      <c r="AD1258" s="26"/>
      <c r="AE1258" s="26"/>
      <c r="AF1258" s="26"/>
      <c r="AG1258" s="26"/>
      <c r="AH1258" s="26"/>
      <c r="AI1258" s="26"/>
      <c r="AJ1258" s="26"/>
      <c r="AK1258" s="26"/>
      <c r="AL1258" s="26"/>
      <c r="AM1258" s="26"/>
      <c r="AN1258" s="26"/>
      <c r="AO1258" s="26"/>
      <c r="AP1258" s="26"/>
      <c r="AQ1258" s="26"/>
      <c r="AR1258" s="26"/>
      <c r="AS1258" s="26"/>
      <c r="AT1258" s="26"/>
      <c r="AU1258" s="26"/>
      <c r="AV1258" s="26"/>
      <c r="AW1258" s="26"/>
      <c r="AX1258" s="26"/>
      <c r="AY1258" s="26"/>
    </row>
    <row r="1259" spans="1:51" ht="12.75" customHeight="1" x14ac:dyDescent="0.25">
      <c r="A1259" s="26"/>
      <c r="B1259" s="66"/>
      <c r="C1259" s="67"/>
      <c r="D1259" s="67"/>
      <c r="E1259" s="26"/>
      <c r="F1259" s="26"/>
      <c r="G1259" s="26"/>
      <c r="H1259" s="26"/>
      <c r="I1259" s="26"/>
      <c r="J1259" s="26"/>
      <c r="K1259" s="26"/>
      <c r="L1259" s="26"/>
      <c r="M1259" s="26"/>
      <c r="N1259" s="26"/>
      <c r="O1259" s="26"/>
      <c r="P1259" s="26"/>
      <c r="Q1259" s="26"/>
      <c r="R1259" s="26"/>
      <c r="S1259" s="26"/>
      <c r="T1259" s="26"/>
      <c r="U1259" s="26"/>
      <c r="V1259" s="26"/>
      <c r="W1259" s="26"/>
      <c r="X1259" s="26"/>
      <c r="Y1259" s="26"/>
      <c r="Z1259" s="26"/>
      <c r="AA1259" s="26"/>
      <c r="AB1259" s="26"/>
      <c r="AC1259" s="26"/>
      <c r="AD1259" s="26"/>
      <c r="AE1259" s="26"/>
      <c r="AF1259" s="26"/>
      <c r="AG1259" s="26"/>
      <c r="AH1259" s="26"/>
      <c r="AI1259" s="26"/>
      <c r="AJ1259" s="26"/>
      <c r="AK1259" s="26"/>
      <c r="AL1259" s="26"/>
      <c r="AM1259" s="26"/>
      <c r="AN1259" s="26"/>
      <c r="AO1259" s="26"/>
      <c r="AP1259" s="26"/>
      <c r="AQ1259" s="26"/>
      <c r="AR1259" s="26"/>
      <c r="AS1259" s="26"/>
      <c r="AT1259" s="26"/>
      <c r="AU1259" s="26"/>
      <c r="AV1259" s="26"/>
      <c r="AW1259" s="26"/>
      <c r="AX1259" s="26"/>
      <c r="AY1259" s="26"/>
    </row>
    <row r="1260" spans="1:51" ht="12.75" customHeight="1" x14ac:dyDescent="0.25">
      <c r="A1260" s="26"/>
      <c r="B1260" s="66"/>
      <c r="C1260" s="67"/>
      <c r="D1260" s="67"/>
      <c r="E1260" s="26"/>
      <c r="F1260" s="26"/>
      <c r="G1260" s="26"/>
      <c r="H1260" s="26"/>
      <c r="I1260" s="26"/>
      <c r="J1260" s="26"/>
      <c r="K1260" s="26"/>
      <c r="L1260" s="26"/>
      <c r="M1260" s="26"/>
      <c r="N1260" s="26"/>
      <c r="O1260" s="26"/>
      <c r="P1260" s="26"/>
      <c r="Q1260" s="26"/>
      <c r="R1260" s="26"/>
      <c r="S1260" s="26"/>
      <c r="T1260" s="26"/>
      <c r="U1260" s="26"/>
      <c r="V1260" s="26"/>
      <c r="W1260" s="26"/>
      <c r="X1260" s="26"/>
      <c r="Y1260" s="26"/>
      <c r="Z1260" s="26"/>
      <c r="AA1260" s="26"/>
      <c r="AB1260" s="26"/>
      <c r="AC1260" s="26"/>
      <c r="AD1260" s="26"/>
      <c r="AE1260" s="26"/>
      <c r="AF1260" s="26"/>
      <c r="AG1260" s="26"/>
      <c r="AH1260" s="26"/>
      <c r="AI1260" s="26"/>
      <c r="AJ1260" s="26"/>
      <c r="AK1260" s="26"/>
      <c r="AL1260" s="26"/>
      <c r="AM1260" s="26"/>
      <c r="AN1260" s="26"/>
      <c r="AO1260" s="26"/>
      <c r="AP1260" s="26"/>
      <c r="AQ1260" s="26"/>
      <c r="AR1260" s="26"/>
      <c r="AS1260" s="26"/>
      <c r="AT1260" s="26"/>
      <c r="AU1260" s="26"/>
      <c r="AV1260" s="26"/>
      <c r="AW1260" s="26"/>
      <c r="AX1260" s="26"/>
      <c r="AY1260" s="26"/>
    </row>
    <row r="1261" spans="1:51" ht="12.75" customHeight="1" x14ac:dyDescent="0.25">
      <c r="A1261" s="26"/>
      <c r="B1261" s="66"/>
      <c r="C1261" s="67"/>
      <c r="D1261" s="67"/>
      <c r="E1261" s="26"/>
      <c r="F1261" s="26"/>
      <c r="G1261" s="26"/>
      <c r="H1261" s="26"/>
      <c r="I1261" s="26"/>
      <c r="J1261" s="26"/>
      <c r="K1261" s="26"/>
      <c r="L1261" s="26"/>
      <c r="M1261" s="26"/>
      <c r="N1261" s="26"/>
      <c r="O1261" s="26"/>
      <c r="P1261" s="26"/>
      <c r="Q1261" s="26"/>
      <c r="R1261" s="26"/>
      <c r="S1261" s="26"/>
      <c r="T1261" s="26"/>
      <c r="U1261" s="26"/>
      <c r="V1261" s="26"/>
      <c r="W1261" s="26"/>
      <c r="X1261" s="26"/>
      <c r="Y1261" s="26"/>
      <c r="Z1261" s="26"/>
      <c r="AA1261" s="26"/>
      <c r="AB1261" s="26"/>
      <c r="AC1261" s="26"/>
      <c r="AD1261" s="26"/>
      <c r="AE1261" s="26"/>
      <c r="AF1261" s="26"/>
      <c r="AG1261" s="26"/>
      <c r="AH1261" s="26"/>
      <c r="AI1261" s="26"/>
      <c r="AJ1261" s="26"/>
      <c r="AK1261" s="26"/>
      <c r="AL1261" s="26"/>
      <c r="AM1261" s="26"/>
      <c r="AN1261" s="26"/>
      <c r="AO1261" s="26"/>
      <c r="AP1261" s="26"/>
      <c r="AQ1261" s="26"/>
      <c r="AR1261" s="26"/>
      <c r="AS1261" s="26"/>
      <c r="AT1261" s="26"/>
      <c r="AU1261" s="26"/>
      <c r="AV1261" s="26"/>
      <c r="AW1261" s="26"/>
      <c r="AX1261" s="26"/>
      <c r="AY1261" s="26"/>
    </row>
    <row r="1262" spans="1:51" ht="12.75" customHeight="1" x14ac:dyDescent="0.25">
      <c r="A1262" s="26"/>
      <c r="B1262" s="66"/>
      <c r="C1262" s="67"/>
      <c r="D1262" s="67"/>
      <c r="E1262" s="26"/>
      <c r="F1262" s="26"/>
      <c r="G1262" s="26"/>
      <c r="H1262" s="26"/>
      <c r="I1262" s="26"/>
      <c r="J1262" s="26"/>
      <c r="K1262" s="26"/>
      <c r="L1262" s="26"/>
      <c r="M1262" s="26"/>
      <c r="N1262" s="26"/>
      <c r="O1262" s="26"/>
      <c r="P1262" s="26"/>
      <c r="Q1262" s="26"/>
      <c r="R1262" s="26"/>
      <c r="S1262" s="26"/>
      <c r="T1262" s="26"/>
      <c r="U1262" s="26"/>
      <c r="V1262" s="26"/>
      <c r="W1262" s="26"/>
      <c r="X1262" s="26"/>
      <c r="Y1262" s="26"/>
      <c r="Z1262" s="26"/>
      <c r="AA1262" s="26"/>
      <c r="AB1262" s="26"/>
      <c r="AC1262" s="26"/>
      <c r="AD1262" s="26"/>
      <c r="AE1262" s="26"/>
      <c r="AF1262" s="26"/>
      <c r="AG1262" s="26"/>
      <c r="AH1262" s="26"/>
      <c r="AI1262" s="26"/>
      <c r="AJ1262" s="26"/>
      <c r="AK1262" s="26"/>
      <c r="AL1262" s="26"/>
      <c r="AM1262" s="26"/>
      <c r="AN1262" s="26"/>
      <c r="AO1262" s="26"/>
      <c r="AP1262" s="26"/>
      <c r="AQ1262" s="26"/>
      <c r="AR1262" s="26"/>
      <c r="AS1262" s="26"/>
      <c r="AT1262" s="26"/>
      <c r="AU1262" s="26"/>
      <c r="AV1262" s="26"/>
      <c r="AW1262" s="26"/>
      <c r="AX1262" s="26"/>
      <c r="AY1262" s="26"/>
    </row>
    <row r="1263" spans="1:51" ht="12.75" customHeight="1" x14ac:dyDescent="0.25">
      <c r="A1263" s="26"/>
      <c r="B1263" s="66"/>
      <c r="C1263" s="67"/>
      <c r="D1263" s="67"/>
      <c r="E1263" s="26"/>
      <c r="F1263" s="26"/>
      <c r="G1263" s="26"/>
      <c r="H1263" s="26"/>
      <c r="I1263" s="26"/>
      <c r="J1263" s="26"/>
      <c r="K1263" s="26"/>
      <c r="L1263" s="26"/>
      <c r="M1263" s="26"/>
      <c r="N1263" s="26"/>
      <c r="O1263" s="26"/>
      <c r="P1263" s="26"/>
      <c r="Q1263" s="26"/>
      <c r="R1263" s="26"/>
      <c r="S1263" s="26"/>
      <c r="T1263" s="26"/>
      <c r="U1263" s="26"/>
      <c r="V1263" s="26"/>
      <c r="W1263" s="26"/>
      <c r="X1263" s="26"/>
      <c r="Y1263" s="26"/>
      <c r="Z1263" s="26"/>
      <c r="AA1263" s="26"/>
      <c r="AB1263" s="26"/>
      <c r="AC1263" s="26"/>
      <c r="AD1263" s="26"/>
      <c r="AE1263" s="26"/>
      <c r="AF1263" s="26"/>
      <c r="AG1263" s="26"/>
      <c r="AH1263" s="26"/>
      <c r="AI1263" s="26"/>
      <c r="AJ1263" s="26"/>
      <c r="AK1263" s="26"/>
      <c r="AL1263" s="26"/>
      <c r="AM1263" s="26"/>
      <c r="AN1263" s="26"/>
      <c r="AO1263" s="26"/>
      <c r="AP1263" s="26"/>
      <c r="AQ1263" s="26"/>
      <c r="AR1263" s="26"/>
      <c r="AS1263" s="26"/>
      <c r="AT1263" s="26"/>
      <c r="AU1263" s="26"/>
      <c r="AV1263" s="26"/>
      <c r="AW1263" s="26"/>
      <c r="AX1263" s="26"/>
      <c r="AY1263" s="26"/>
    </row>
    <row r="1264" spans="1:51" ht="12.75" customHeight="1" x14ac:dyDescent="0.25">
      <c r="A1264" s="26"/>
      <c r="B1264" s="66"/>
      <c r="C1264" s="67"/>
      <c r="D1264" s="67"/>
      <c r="E1264" s="26"/>
      <c r="F1264" s="26"/>
      <c r="G1264" s="26"/>
      <c r="H1264" s="26"/>
      <c r="I1264" s="26"/>
      <c r="J1264" s="26"/>
      <c r="K1264" s="26"/>
      <c r="L1264" s="26"/>
      <c r="M1264" s="26"/>
      <c r="N1264" s="26"/>
      <c r="O1264" s="26"/>
      <c r="P1264" s="26"/>
      <c r="Q1264" s="26"/>
      <c r="R1264" s="26"/>
      <c r="S1264" s="26"/>
      <c r="T1264" s="26"/>
      <c r="U1264" s="26"/>
      <c r="V1264" s="26"/>
      <c r="W1264" s="26"/>
      <c r="X1264" s="26"/>
      <c r="Y1264" s="26"/>
      <c r="Z1264" s="26"/>
      <c r="AA1264" s="26"/>
      <c r="AB1264" s="26"/>
      <c r="AC1264" s="26"/>
      <c r="AD1264" s="26"/>
      <c r="AE1264" s="26"/>
      <c r="AF1264" s="26"/>
      <c r="AG1264" s="26"/>
      <c r="AH1264" s="26"/>
      <c r="AI1264" s="26"/>
      <c r="AJ1264" s="26"/>
      <c r="AK1264" s="26"/>
      <c r="AL1264" s="26"/>
      <c r="AM1264" s="26"/>
      <c r="AN1264" s="26"/>
      <c r="AO1264" s="26"/>
      <c r="AP1264" s="26"/>
      <c r="AQ1264" s="26"/>
      <c r="AR1264" s="26"/>
      <c r="AS1264" s="26"/>
      <c r="AT1264" s="26"/>
      <c r="AU1264" s="26"/>
      <c r="AV1264" s="26"/>
      <c r="AW1264" s="26"/>
      <c r="AX1264" s="26"/>
      <c r="AY1264" s="26"/>
    </row>
    <row r="1265" spans="1:51" ht="12.75" customHeight="1" x14ac:dyDescent="0.25">
      <c r="A1265" s="26"/>
      <c r="B1265" s="66"/>
      <c r="C1265" s="67"/>
      <c r="D1265" s="67"/>
      <c r="E1265" s="26"/>
      <c r="F1265" s="26"/>
      <c r="G1265" s="26"/>
      <c r="H1265" s="26"/>
      <c r="I1265" s="26"/>
      <c r="J1265" s="26"/>
      <c r="K1265" s="26"/>
      <c r="L1265" s="26"/>
      <c r="M1265" s="26"/>
      <c r="N1265" s="26"/>
      <c r="O1265" s="26"/>
      <c r="P1265" s="26"/>
      <c r="Q1265" s="26"/>
      <c r="R1265" s="26"/>
      <c r="S1265" s="26"/>
      <c r="T1265" s="26"/>
      <c r="U1265" s="26"/>
      <c r="V1265" s="26"/>
      <c r="W1265" s="26"/>
      <c r="X1265" s="26"/>
      <c r="Y1265" s="26"/>
      <c r="Z1265" s="26"/>
      <c r="AA1265" s="26"/>
      <c r="AB1265" s="26"/>
      <c r="AC1265" s="26"/>
      <c r="AD1265" s="26"/>
      <c r="AE1265" s="26"/>
      <c r="AF1265" s="26"/>
      <c r="AG1265" s="26"/>
      <c r="AH1265" s="26"/>
      <c r="AI1265" s="26"/>
      <c r="AJ1265" s="26"/>
      <c r="AK1265" s="26"/>
      <c r="AL1265" s="26"/>
      <c r="AM1265" s="26"/>
      <c r="AN1265" s="26"/>
      <c r="AO1265" s="26"/>
      <c r="AP1265" s="26"/>
      <c r="AQ1265" s="26"/>
      <c r="AR1265" s="26"/>
      <c r="AS1265" s="26"/>
      <c r="AT1265" s="26"/>
      <c r="AU1265" s="26"/>
      <c r="AV1265" s="26"/>
      <c r="AW1265" s="26"/>
      <c r="AX1265" s="26"/>
      <c r="AY1265" s="26"/>
    </row>
    <row r="1266" spans="1:51" ht="12.75" customHeight="1" x14ac:dyDescent="0.25">
      <c r="A1266" s="26"/>
      <c r="B1266" s="66"/>
      <c r="C1266" s="67"/>
      <c r="D1266" s="67"/>
      <c r="E1266" s="26"/>
      <c r="F1266" s="26"/>
      <c r="G1266" s="26"/>
      <c r="H1266" s="26"/>
      <c r="I1266" s="26"/>
      <c r="J1266" s="26"/>
      <c r="K1266" s="26"/>
      <c r="L1266" s="26"/>
      <c r="M1266" s="26"/>
      <c r="N1266" s="26"/>
      <c r="O1266" s="26"/>
      <c r="P1266" s="26"/>
      <c r="Q1266" s="26"/>
      <c r="R1266" s="26"/>
      <c r="S1266" s="26"/>
      <c r="T1266" s="26"/>
      <c r="U1266" s="26"/>
      <c r="V1266" s="26"/>
      <c r="W1266" s="26"/>
      <c r="X1266" s="26"/>
      <c r="Y1266" s="26"/>
      <c r="Z1266" s="26"/>
      <c r="AA1266" s="26"/>
      <c r="AB1266" s="26"/>
      <c r="AC1266" s="26"/>
      <c r="AD1266" s="26"/>
      <c r="AE1266" s="26"/>
      <c r="AF1266" s="26"/>
      <c r="AG1266" s="26"/>
      <c r="AH1266" s="26"/>
      <c r="AI1266" s="26"/>
      <c r="AJ1266" s="26"/>
      <c r="AK1266" s="26"/>
      <c r="AL1266" s="26"/>
      <c r="AM1266" s="26"/>
      <c r="AN1266" s="26"/>
      <c r="AO1266" s="26"/>
      <c r="AP1266" s="26"/>
      <c r="AQ1266" s="26"/>
      <c r="AR1266" s="26"/>
      <c r="AS1266" s="26"/>
      <c r="AT1266" s="26"/>
      <c r="AU1266" s="26"/>
      <c r="AV1266" s="26"/>
      <c r="AW1266" s="26"/>
      <c r="AX1266" s="26"/>
      <c r="AY1266" s="26"/>
    </row>
    <row r="1267" spans="1:51" ht="12.75" customHeight="1" x14ac:dyDescent="0.25">
      <c r="A1267" s="26"/>
      <c r="B1267" s="66"/>
      <c r="C1267" s="67"/>
      <c r="D1267" s="67"/>
      <c r="E1267" s="26"/>
      <c r="F1267" s="26"/>
      <c r="G1267" s="26"/>
      <c r="H1267" s="26"/>
      <c r="I1267" s="26"/>
      <c r="J1267" s="26"/>
      <c r="K1267" s="26"/>
      <c r="L1267" s="26"/>
      <c r="M1267" s="26"/>
      <c r="N1267" s="26"/>
      <c r="O1267" s="26"/>
      <c r="P1267" s="26"/>
      <c r="Q1267" s="26"/>
      <c r="R1267" s="26"/>
      <c r="S1267" s="26"/>
      <c r="T1267" s="26"/>
      <c r="U1267" s="26"/>
      <c r="V1267" s="26"/>
      <c r="W1267" s="26"/>
      <c r="X1267" s="26"/>
      <c r="Y1267" s="26"/>
      <c r="Z1267" s="26"/>
      <c r="AA1267" s="26"/>
      <c r="AB1267" s="26"/>
      <c r="AC1267" s="26"/>
      <c r="AD1267" s="26"/>
      <c r="AE1267" s="26"/>
      <c r="AF1267" s="26"/>
      <c r="AG1267" s="26"/>
      <c r="AH1267" s="26"/>
      <c r="AI1267" s="26"/>
      <c r="AJ1267" s="26"/>
      <c r="AK1267" s="26"/>
      <c r="AL1267" s="26"/>
      <c r="AM1267" s="26"/>
      <c r="AN1267" s="26"/>
      <c r="AO1267" s="26"/>
      <c r="AP1267" s="26"/>
      <c r="AQ1267" s="26"/>
      <c r="AR1267" s="26"/>
      <c r="AS1267" s="26"/>
      <c r="AT1267" s="26"/>
      <c r="AU1267" s="26"/>
      <c r="AV1267" s="26"/>
      <c r="AW1267" s="26"/>
      <c r="AX1267" s="26"/>
      <c r="AY1267" s="26"/>
    </row>
    <row r="1268" spans="1:51" ht="12.75" customHeight="1" x14ac:dyDescent="0.25">
      <c r="A1268" s="26"/>
      <c r="B1268" s="66"/>
      <c r="C1268" s="67"/>
      <c r="D1268" s="67"/>
      <c r="E1268" s="26"/>
      <c r="F1268" s="26"/>
      <c r="G1268" s="26"/>
      <c r="H1268" s="26"/>
      <c r="I1268" s="26"/>
      <c r="J1268" s="26"/>
      <c r="K1268" s="26"/>
      <c r="L1268" s="26"/>
      <c r="M1268" s="26"/>
      <c r="N1268" s="26"/>
      <c r="O1268" s="26"/>
      <c r="P1268" s="26"/>
      <c r="Q1268" s="26"/>
      <c r="R1268" s="26"/>
      <c r="S1268" s="26"/>
      <c r="T1268" s="26"/>
      <c r="U1268" s="26"/>
      <c r="V1268" s="26"/>
      <c r="W1268" s="26"/>
      <c r="X1268" s="26"/>
      <c r="Y1268" s="26"/>
      <c r="Z1268" s="26"/>
      <c r="AA1268" s="26"/>
      <c r="AB1268" s="26"/>
      <c r="AC1268" s="26"/>
      <c r="AD1268" s="26"/>
      <c r="AE1268" s="26"/>
      <c r="AF1268" s="26"/>
      <c r="AG1268" s="26"/>
      <c r="AH1268" s="26"/>
      <c r="AI1268" s="26"/>
      <c r="AJ1268" s="26"/>
      <c r="AK1268" s="26"/>
      <c r="AL1268" s="26"/>
      <c r="AM1268" s="26"/>
      <c r="AN1268" s="26"/>
      <c r="AO1268" s="26"/>
      <c r="AP1268" s="26"/>
      <c r="AQ1268" s="26"/>
      <c r="AR1268" s="26"/>
      <c r="AS1268" s="26"/>
      <c r="AT1268" s="26"/>
      <c r="AU1268" s="26"/>
      <c r="AV1268" s="26"/>
      <c r="AW1268" s="26"/>
      <c r="AX1268" s="26"/>
      <c r="AY1268" s="26"/>
    </row>
    <row r="1269" spans="1:51" ht="12.75" customHeight="1" x14ac:dyDescent="0.25">
      <c r="A1269" s="26"/>
      <c r="B1269" s="66"/>
      <c r="C1269" s="67"/>
      <c r="D1269" s="67"/>
      <c r="E1269" s="26"/>
      <c r="F1269" s="26"/>
      <c r="G1269" s="26"/>
      <c r="H1269" s="26"/>
      <c r="I1269" s="26"/>
      <c r="J1269" s="26"/>
      <c r="K1269" s="26"/>
      <c r="L1269" s="26"/>
      <c r="M1269" s="26"/>
      <c r="N1269" s="26"/>
      <c r="O1269" s="26"/>
      <c r="P1269" s="26"/>
      <c r="Q1269" s="26"/>
      <c r="R1269" s="26"/>
      <c r="S1269" s="26"/>
      <c r="T1269" s="26"/>
      <c r="U1269" s="26"/>
      <c r="V1269" s="26"/>
      <c r="W1269" s="26"/>
      <c r="X1269" s="26"/>
      <c r="Y1269" s="26"/>
      <c r="Z1269" s="26"/>
      <c r="AA1269" s="26"/>
      <c r="AB1269" s="26"/>
      <c r="AC1269" s="26"/>
      <c r="AD1269" s="26"/>
      <c r="AE1269" s="26"/>
      <c r="AF1269" s="26"/>
      <c r="AG1269" s="26"/>
      <c r="AH1269" s="26"/>
      <c r="AI1269" s="26"/>
      <c r="AJ1269" s="26"/>
      <c r="AK1269" s="26"/>
      <c r="AL1269" s="26"/>
      <c r="AM1269" s="26"/>
      <c r="AN1269" s="26"/>
      <c r="AO1269" s="26"/>
      <c r="AP1269" s="26"/>
      <c r="AQ1269" s="26"/>
      <c r="AR1269" s="26"/>
      <c r="AS1269" s="26"/>
      <c r="AT1269" s="26"/>
      <c r="AU1269" s="26"/>
      <c r="AV1269" s="26"/>
      <c r="AW1269" s="26"/>
      <c r="AX1269" s="26"/>
      <c r="AY1269" s="26"/>
    </row>
    <row r="1270" spans="1:51" ht="12.75" customHeight="1" x14ac:dyDescent="0.25">
      <c r="A1270" s="26"/>
      <c r="B1270" s="66"/>
      <c r="C1270" s="67"/>
      <c r="D1270" s="67"/>
      <c r="E1270" s="26"/>
      <c r="F1270" s="26"/>
      <c r="G1270" s="26"/>
      <c r="H1270" s="26"/>
      <c r="I1270" s="26"/>
      <c r="J1270" s="26"/>
      <c r="K1270" s="26"/>
      <c r="L1270" s="26"/>
      <c r="M1270" s="26"/>
      <c r="N1270" s="26"/>
      <c r="O1270" s="26"/>
      <c r="P1270" s="26"/>
      <c r="Q1270" s="26"/>
      <c r="R1270" s="26"/>
      <c r="S1270" s="26"/>
      <c r="T1270" s="26"/>
      <c r="U1270" s="26"/>
      <c r="V1270" s="26"/>
      <c r="W1270" s="26"/>
      <c r="X1270" s="26"/>
      <c r="Y1270" s="26"/>
      <c r="Z1270" s="26"/>
      <c r="AA1270" s="26"/>
      <c r="AB1270" s="26"/>
      <c r="AC1270" s="26"/>
      <c r="AD1270" s="26"/>
      <c r="AE1270" s="26"/>
      <c r="AF1270" s="26"/>
      <c r="AG1270" s="26"/>
      <c r="AH1270" s="26"/>
      <c r="AI1270" s="26"/>
      <c r="AJ1270" s="26"/>
      <c r="AK1270" s="26"/>
      <c r="AL1270" s="26"/>
      <c r="AM1270" s="26"/>
      <c r="AN1270" s="26"/>
      <c r="AO1270" s="26"/>
      <c r="AP1270" s="26"/>
      <c r="AQ1270" s="26"/>
      <c r="AR1270" s="26"/>
      <c r="AS1270" s="26"/>
      <c r="AT1270" s="26"/>
      <c r="AU1270" s="26"/>
      <c r="AV1270" s="26"/>
      <c r="AW1270" s="26"/>
      <c r="AX1270" s="26"/>
      <c r="AY1270" s="26"/>
    </row>
    <row r="1271" spans="1:51" ht="12.75" customHeight="1" x14ac:dyDescent="0.25">
      <c r="A1271" s="26"/>
      <c r="B1271" s="66"/>
      <c r="C1271" s="67"/>
      <c r="D1271" s="67"/>
      <c r="E1271" s="26"/>
      <c r="F1271" s="26"/>
      <c r="G1271" s="26"/>
      <c r="H1271" s="26"/>
      <c r="I1271" s="26"/>
      <c r="J1271" s="26"/>
      <c r="K1271" s="26"/>
      <c r="L1271" s="26"/>
      <c r="M1271" s="26"/>
      <c r="N1271" s="26"/>
      <c r="O1271" s="26"/>
      <c r="P1271" s="26"/>
      <c r="Q1271" s="26"/>
      <c r="R1271" s="26"/>
      <c r="S1271" s="26"/>
      <c r="T1271" s="26"/>
      <c r="U1271" s="26"/>
      <c r="V1271" s="26"/>
      <c r="W1271" s="26"/>
      <c r="X1271" s="26"/>
      <c r="Y1271" s="26"/>
      <c r="Z1271" s="26"/>
      <c r="AA1271" s="26"/>
      <c r="AB1271" s="26"/>
      <c r="AC1271" s="26"/>
      <c r="AD1271" s="26"/>
      <c r="AE1271" s="26"/>
      <c r="AF1271" s="26"/>
      <c r="AG1271" s="26"/>
      <c r="AH1271" s="26"/>
      <c r="AI1271" s="26"/>
      <c r="AJ1271" s="26"/>
      <c r="AK1271" s="26"/>
      <c r="AL1271" s="26"/>
      <c r="AM1271" s="26"/>
      <c r="AN1271" s="26"/>
      <c r="AO1271" s="26"/>
      <c r="AP1271" s="26"/>
      <c r="AQ1271" s="26"/>
      <c r="AR1271" s="26"/>
      <c r="AS1271" s="26"/>
      <c r="AT1271" s="26"/>
      <c r="AU1271" s="26"/>
      <c r="AV1271" s="26"/>
      <c r="AW1271" s="26"/>
      <c r="AX1271" s="26"/>
      <c r="AY1271" s="26"/>
    </row>
    <row r="1272" spans="1:51" ht="12.75" customHeight="1" x14ac:dyDescent="0.25">
      <c r="A1272" s="26"/>
      <c r="B1272" s="66"/>
      <c r="C1272" s="67"/>
      <c r="D1272" s="67"/>
      <c r="E1272" s="26"/>
      <c r="F1272" s="26"/>
      <c r="G1272" s="26"/>
      <c r="H1272" s="26"/>
      <c r="I1272" s="26"/>
      <c r="J1272" s="26"/>
      <c r="K1272" s="26"/>
      <c r="L1272" s="26"/>
      <c r="M1272" s="26"/>
      <c r="N1272" s="26"/>
      <c r="O1272" s="26"/>
      <c r="P1272" s="26"/>
      <c r="Q1272" s="26"/>
      <c r="R1272" s="26"/>
      <c r="S1272" s="26"/>
      <c r="T1272" s="26"/>
      <c r="U1272" s="26"/>
      <c r="V1272" s="26"/>
      <c r="W1272" s="26"/>
      <c r="X1272" s="26"/>
      <c r="Y1272" s="26"/>
      <c r="Z1272" s="26"/>
      <c r="AA1272" s="26"/>
      <c r="AB1272" s="26"/>
      <c r="AC1272" s="26"/>
      <c r="AD1272" s="26"/>
      <c r="AE1272" s="26"/>
      <c r="AF1272" s="26"/>
      <c r="AG1272" s="26"/>
      <c r="AH1272" s="26"/>
      <c r="AI1272" s="26"/>
      <c r="AJ1272" s="26"/>
      <c r="AK1272" s="26"/>
      <c r="AL1272" s="26"/>
      <c r="AM1272" s="26"/>
      <c r="AN1272" s="26"/>
      <c r="AO1272" s="26"/>
      <c r="AP1272" s="26"/>
      <c r="AQ1272" s="26"/>
      <c r="AR1272" s="26"/>
      <c r="AS1272" s="26"/>
      <c r="AT1272" s="26"/>
      <c r="AU1272" s="26"/>
      <c r="AV1272" s="26"/>
      <c r="AW1272" s="26"/>
      <c r="AX1272" s="26"/>
      <c r="AY1272" s="26"/>
    </row>
    <row r="1273" spans="1:51" ht="12.75" customHeight="1" x14ac:dyDescent="0.25">
      <c r="A1273" s="26"/>
      <c r="B1273" s="66"/>
      <c r="C1273" s="67"/>
      <c r="D1273" s="67"/>
      <c r="E1273" s="26"/>
      <c r="F1273" s="26"/>
      <c r="G1273" s="26"/>
      <c r="H1273" s="26"/>
      <c r="I1273" s="26"/>
      <c r="J1273" s="26"/>
      <c r="K1273" s="26"/>
      <c r="L1273" s="26"/>
      <c r="M1273" s="26"/>
      <c r="N1273" s="26"/>
      <c r="O1273" s="26"/>
      <c r="P1273" s="26"/>
      <c r="Q1273" s="26"/>
      <c r="R1273" s="26"/>
      <c r="S1273" s="26"/>
      <c r="T1273" s="26"/>
      <c r="U1273" s="26"/>
      <c r="V1273" s="26"/>
      <c r="W1273" s="26"/>
      <c r="X1273" s="26"/>
      <c r="Y1273" s="26"/>
      <c r="Z1273" s="26"/>
      <c r="AA1273" s="26"/>
      <c r="AB1273" s="26"/>
      <c r="AC1273" s="26"/>
      <c r="AD1273" s="26"/>
      <c r="AE1273" s="26"/>
      <c r="AF1273" s="26"/>
      <c r="AG1273" s="26"/>
      <c r="AH1273" s="26"/>
      <c r="AI1273" s="26"/>
      <c r="AJ1273" s="26"/>
      <c r="AK1273" s="26"/>
      <c r="AL1273" s="26"/>
      <c r="AM1273" s="26"/>
      <c r="AN1273" s="26"/>
      <c r="AO1273" s="26"/>
      <c r="AP1273" s="26"/>
      <c r="AQ1273" s="26"/>
      <c r="AR1273" s="26"/>
      <c r="AS1273" s="26"/>
      <c r="AT1273" s="26"/>
      <c r="AU1273" s="26"/>
      <c r="AV1273" s="26"/>
      <c r="AW1273" s="26"/>
      <c r="AX1273" s="26"/>
      <c r="AY1273" s="26"/>
    </row>
    <row r="1274" spans="1:51" ht="12.75" customHeight="1" x14ac:dyDescent="0.25">
      <c r="A1274" s="26"/>
      <c r="B1274" s="66"/>
      <c r="C1274" s="67"/>
      <c r="D1274" s="67"/>
      <c r="E1274" s="26"/>
      <c r="F1274" s="26"/>
      <c r="G1274" s="26"/>
      <c r="H1274" s="26"/>
      <c r="I1274" s="26"/>
      <c r="J1274" s="26"/>
      <c r="K1274" s="26"/>
      <c r="L1274" s="26"/>
      <c r="M1274" s="26"/>
      <c r="N1274" s="26"/>
      <c r="O1274" s="26"/>
      <c r="P1274" s="26"/>
      <c r="Q1274" s="26"/>
      <c r="R1274" s="26"/>
      <c r="S1274" s="26"/>
      <c r="T1274" s="26"/>
      <c r="U1274" s="26"/>
      <c r="V1274" s="26"/>
      <c r="W1274" s="26"/>
      <c r="X1274" s="26"/>
      <c r="Y1274" s="26"/>
      <c r="Z1274" s="26"/>
      <c r="AA1274" s="26"/>
      <c r="AB1274" s="26"/>
      <c r="AC1274" s="26"/>
      <c r="AD1274" s="26"/>
      <c r="AE1274" s="26"/>
      <c r="AF1274" s="26"/>
      <c r="AG1274" s="26"/>
      <c r="AH1274" s="26"/>
      <c r="AI1274" s="26"/>
      <c r="AJ1274" s="26"/>
      <c r="AK1274" s="26"/>
      <c r="AL1274" s="26"/>
      <c r="AM1274" s="26"/>
      <c r="AN1274" s="26"/>
      <c r="AO1274" s="26"/>
      <c r="AP1274" s="26"/>
      <c r="AQ1274" s="26"/>
      <c r="AR1274" s="26"/>
      <c r="AS1274" s="26"/>
      <c r="AT1274" s="26"/>
      <c r="AU1274" s="26"/>
      <c r="AV1274" s="26"/>
      <c r="AW1274" s="26"/>
      <c r="AX1274" s="26"/>
      <c r="AY1274" s="26"/>
    </row>
    <row r="1275" spans="1:51" ht="12.75" customHeight="1" x14ac:dyDescent="0.25">
      <c r="A1275" s="26"/>
      <c r="B1275" s="66"/>
      <c r="C1275" s="67"/>
      <c r="D1275" s="67"/>
      <c r="E1275" s="26"/>
      <c r="F1275" s="26"/>
      <c r="G1275" s="26"/>
      <c r="H1275" s="26"/>
      <c r="I1275" s="26"/>
      <c r="J1275" s="26"/>
      <c r="K1275" s="26"/>
      <c r="L1275" s="26"/>
      <c r="M1275" s="26"/>
      <c r="N1275" s="26"/>
      <c r="O1275" s="26"/>
      <c r="P1275" s="26"/>
      <c r="Q1275" s="26"/>
      <c r="R1275" s="26"/>
      <c r="S1275" s="26"/>
      <c r="T1275" s="26"/>
      <c r="U1275" s="26"/>
      <c r="V1275" s="26"/>
      <c r="W1275" s="26"/>
      <c r="X1275" s="26"/>
      <c r="Y1275" s="26"/>
      <c r="Z1275" s="26"/>
      <c r="AA1275" s="26"/>
      <c r="AB1275" s="26"/>
      <c r="AC1275" s="26"/>
      <c r="AD1275" s="26"/>
      <c r="AE1275" s="26"/>
      <c r="AF1275" s="26"/>
      <c r="AG1275" s="26"/>
      <c r="AH1275" s="26"/>
      <c r="AI1275" s="26"/>
      <c r="AJ1275" s="26"/>
      <c r="AK1275" s="26"/>
      <c r="AL1275" s="26"/>
      <c r="AM1275" s="26"/>
      <c r="AN1275" s="26"/>
      <c r="AO1275" s="26"/>
      <c r="AP1275" s="26"/>
      <c r="AQ1275" s="26"/>
      <c r="AR1275" s="26"/>
      <c r="AS1275" s="26"/>
      <c r="AT1275" s="26"/>
      <c r="AU1275" s="26"/>
      <c r="AV1275" s="26"/>
      <c r="AW1275" s="26"/>
      <c r="AX1275" s="26"/>
      <c r="AY1275" s="26"/>
    </row>
    <row r="1276" spans="1:51" ht="12.75" customHeight="1" x14ac:dyDescent="0.25">
      <c r="A1276" s="26"/>
      <c r="B1276" s="66"/>
      <c r="C1276" s="67"/>
      <c r="D1276" s="67"/>
      <c r="E1276" s="26"/>
      <c r="F1276" s="26"/>
      <c r="G1276" s="26"/>
      <c r="H1276" s="26"/>
      <c r="I1276" s="26"/>
      <c r="J1276" s="26"/>
      <c r="K1276" s="26"/>
      <c r="L1276" s="26"/>
      <c r="M1276" s="26"/>
      <c r="N1276" s="26"/>
      <c r="O1276" s="26"/>
      <c r="P1276" s="26"/>
      <c r="Q1276" s="26"/>
      <c r="R1276" s="26"/>
      <c r="S1276" s="26"/>
      <c r="T1276" s="26"/>
      <c r="U1276" s="26"/>
      <c r="V1276" s="26"/>
      <c r="W1276" s="26"/>
      <c r="X1276" s="26"/>
      <c r="Y1276" s="26"/>
      <c r="Z1276" s="26"/>
      <c r="AA1276" s="26"/>
      <c r="AB1276" s="26"/>
      <c r="AC1276" s="26"/>
      <c r="AD1276" s="26"/>
      <c r="AE1276" s="26"/>
      <c r="AF1276" s="26"/>
      <c r="AG1276" s="26"/>
      <c r="AH1276" s="26"/>
      <c r="AI1276" s="26"/>
      <c r="AJ1276" s="26"/>
      <c r="AK1276" s="26"/>
      <c r="AL1276" s="26"/>
      <c r="AM1276" s="26"/>
      <c r="AN1276" s="26"/>
      <c r="AO1276" s="26"/>
      <c r="AP1276" s="26"/>
      <c r="AQ1276" s="26"/>
      <c r="AR1276" s="26"/>
      <c r="AS1276" s="26"/>
      <c r="AT1276" s="26"/>
      <c r="AU1276" s="26"/>
      <c r="AV1276" s="26"/>
      <c r="AW1276" s="26"/>
      <c r="AX1276" s="26"/>
      <c r="AY1276" s="26"/>
    </row>
    <row r="1277" spans="1:51" ht="12.75" customHeight="1" x14ac:dyDescent="0.25">
      <c r="A1277" s="26"/>
      <c r="B1277" s="66"/>
      <c r="C1277" s="67"/>
      <c r="D1277" s="67"/>
      <c r="E1277" s="26"/>
      <c r="F1277" s="26"/>
      <c r="G1277" s="26"/>
      <c r="H1277" s="26"/>
      <c r="I1277" s="26"/>
      <c r="J1277" s="26"/>
      <c r="K1277" s="26"/>
      <c r="L1277" s="26"/>
      <c r="M1277" s="26"/>
      <c r="N1277" s="26"/>
      <c r="O1277" s="26"/>
      <c r="P1277" s="26"/>
      <c r="Q1277" s="26"/>
      <c r="R1277" s="26"/>
      <c r="S1277" s="26"/>
      <c r="T1277" s="26"/>
      <c r="U1277" s="26"/>
      <c r="V1277" s="26"/>
      <c r="W1277" s="26"/>
      <c r="X1277" s="26"/>
      <c r="Y1277" s="26"/>
      <c r="Z1277" s="26"/>
      <c r="AA1277" s="26"/>
      <c r="AB1277" s="26"/>
      <c r="AC1277" s="26"/>
      <c r="AD1277" s="26"/>
      <c r="AE1277" s="26"/>
      <c r="AF1277" s="26"/>
      <c r="AG1277" s="26"/>
      <c r="AH1277" s="26"/>
      <c r="AI1277" s="26"/>
      <c r="AJ1277" s="26"/>
      <c r="AK1277" s="26"/>
      <c r="AL1277" s="26"/>
      <c r="AM1277" s="26"/>
      <c r="AN1277" s="26"/>
      <c r="AO1277" s="26"/>
      <c r="AP1277" s="26"/>
      <c r="AQ1277" s="26"/>
      <c r="AR1277" s="26"/>
      <c r="AS1277" s="26"/>
      <c r="AT1277" s="26"/>
      <c r="AU1277" s="26"/>
      <c r="AV1277" s="26"/>
      <c r="AW1277" s="26"/>
      <c r="AX1277" s="26"/>
      <c r="AY1277" s="26"/>
    </row>
    <row r="1278" spans="1:51" ht="12.75" customHeight="1" x14ac:dyDescent="0.25">
      <c r="A1278" s="26"/>
      <c r="B1278" s="66"/>
      <c r="C1278" s="67"/>
      <c r="D1278" s="67"/>
      <c r="E1278" s="26"/>
      <c r="F1278" s="26"/>
      <c r="G1278" s="26"/>
      <c r="H1278" s="26"/>
      <c r="I1278" s="26"/>
      <c r="J1278" s="26"/>
      <c r="K1278" s="26"/>
      <c r="L1278" s="26"/>
      <c r="M1278" s="26"/>
      <c r="N1278" s="26"/>
      <c r="O1278" s="26"/>
      <c r="P1278" s="26"/>
      <c r="Q1278" s="26"/>
      <c r="R1278" s="26"/>
      <c r="S1278" s="26"/>
      <c r="T1278" s="26"/>
      <c r="U1278" s="26"/>
      <c r="V1278" s="26"/>
      <c r="W1278" s="26"/>
      <c r="X1278" s="26"/>
      <c r="Y1278" s="26"/>
      <c r="Z1278" s="26"/>
      <c r="AA1278" s="26"/>
      <c r="AB1278" s="26"/>
      <c r="AC1278" s="26"/>
      <c r="AD1278" s="26"/>
      <c r="AE1278" s="26"/>
      <c r="AF1278" s="26"/>
      <c r="AG1278" s="26"/>
      <c r="AH1278" s="26"/>
      <c r="AI1278" s="26"/>
      <c r="AJ1278" s="26"/>
      <c r="AK1278" s="26"/>
      <c r="AL1278" s="26"/>
      <c r="AM1278" s="26"/>
      <c r="AN1278" s="26"/>
      <c r="AO1278" s="26"/>
      <c r="AP1278" s="26"/>
      <c r="AQ1278" s="26"/>
      <c r="AR1278" s="26"/>
      <c r="AS1278" s="26"/>
      <c r="AT1278" s="26"/>
      <c r="AU1278" s="26"/>
      <c r="AV1278" s="26"/>
      <c r="AW1278" s="26"/>
      <c r="AX1278" s="26"/>
      <c r="AY1278" s="26"/>
    </row>
    <row r="1279" spans="1:51" ht="12.75" customHeight="1" x14ac:dyDescent="0.25">
      <c r="A1279" s="26"/>
      <c r="B1279" s="66"/>
      <c r="C1279" s="67"/>
      <c r="D1279" s="67"/>
      <c r="E1279" s="26"/>
      <c r="F1279" s="26"/>
      <c r="G1279" s="26"/>
      <c r="H1279" s="26"/>
      <c r="I1279" s="26"/>
      <c r="J1279" s="26"/>
      <c r="K1279" s="26"/>
      <c r="L1279" s="26"/>
      <c r="M1279" s="26"/>
      <c r="N1279" s="26"/>
      <c r="O1279" s="26"/>
      <c r="P1279" s="26"/>
      <c r="Q1279" s="26"/>
      <c r="R1279" s="26"/>
      <c r="S1279" s="26"/>
      <c r="T1279" s="26"/>
      <c r="U1279" s="26"/>
      <c r="V1279" s="26"/>
      <c r="W1279" s="26"/>
      <c r="X1279" s="26"/>
      <c r="Y1279" s="26"/>
      <c r="Z1279" s="26"/>
      <c r="AA1279" s="26"/>
      <c r="AB1279" s="26"/>
      <c r="AC1279" s="26"/>
      <c r="AD1279" s="26"/>
      <c r="AE1279" s="26"/>
      <c r="AF1279" s="26"/>
      <c r="AG1279" s="26"/>
      <c r="AH1279" s="26"/>
      <c r="AI1279" s="26"/>
      <c r="AJ1279" s="26"/>
      <c r="AK1279" s="26"/>
      <c r="AL1279" s="26"/>
      <c r="AM1279" s="26"/>
      <c r="AN1279" s="26"/>
      <c r="AO1279" s="26"/>
      <c r="AP1279" s="26"/>
      <c r="AQ1279" s="26"/>
      <c r="AR1279" s="26"/>
      <c r="AS1279" s="26"/>
      <c r="AT1279" s="26"/>
      <c r="AU1279" s="26"/>
      <c r="AV1279" s="26"/>
      <c r="AW1279" s="26"/>
      <c r="AX1279" s="26"/>
      <c r="AY1279" s="26"/>
    </row>
    <row r="1280" spans="1:51" ht="12.75" customHeight="1" x14ac:dyDescent="0.25">
      <c r="A1280" s="26"/>
      <c r="B1280" s="66"/>
      <c r="C1280" s="67"/>
      <c r="D1280" s="67"/>
      <c r="E1280" s="26"/>
      <c r="F1280" s="26"/>
      <c r="G1280" s="26"/>
      <c r="H1280" s="26"/>
      <c r="I1280" s="26"/>
      <c r="J1280" s="26"/>
      <c r="K1280" s="26"/>
      <c r="L1280" s="26"/>
      <c r="M1280" s="26"/>
      <c r="N1280" s="26"/>
      <c r="O1280" s="26"/>
      <c r="P1280" s="26"/>
      <c r="Q1280" s="26"/>
      <c r="R1280" s="26"/>
      <c r="S1280" s="38"/>
      <c r="T1280" s="26"/>
      <c r="U1280" s="26"/>
      <c r="V1280" s="26"/>
      <c r="W1280" s="26"/>
      <c r="X1280" s="26"/>
      <c r="Y1280" s="26"/>
      <c r="Z1280" s="26"/>
      <c r="AA1280" s="26"/>
      <c r="AB1280" s="26"/>
      <c r="AC1280" s="26"/>
      <c r="AD1280" s="26"/>
      <c r="AE1280" s="26"/>
      <c r="AF1280" s="26"/>
      <c r="AG1280" s="26"/>
      <c r="AH1280" s="26"/>
      <c r="AI1280" s="26"/>
      <c r="AJ1280" s="26"/>
      <c r="AK1280" s="26"/>
      <c r="AL1280" s="26"/>
      <c r="AM1280" s="26"/>
      <c r="AN1280" s="26"/>
      <c r="AO1280" s="26"/>
      <c r="AP1280" s="26"/>
      <c r="AQ1280" s="26"/>
      <c r="AR1280" s="26"/>
      <c r="AS1280" s="26"/>
      <c r="AT1280" s="26"/>
      <c r="AU1280" s="26"/>
      <c r="AV1280" s="26"/>
      <c r="AW1280" s="26"/>
      <c r="AX1280" s="26"/>
      <c r="AY1280" s="26"/>
    </row>
    <row r="1281" spans="1:51" ht="12.75" customHeight="1" x14ac:dyDescent="0.25">
      <c r="A1281" s="26"/>
      <c r="B1281" s="66"/>
      <c r="C1281" s="67"/>
      <c r="D1281" s="67"/>
      <c r="E1281" s="26"/>
      <c r="F1281" s="26"/>
      <c r="G1281" s="26"/>
      <c r="H1281" s="26"/>
      <c r="I1281" s="26"/>
      <c r="J1281" s="26"/>
      <c r="K1281" s="26"/>
      <c r="L1281" s="26"/>
      <c r="M1281" s="26"/>
      <c r="N1281" s="26"/>
      <c r="O1281" s="26"/>
      <c r="P1281" s="26"/>
      <c r="Q1281" s="26"/>
      <c r="R1281" s="26"/>
      <c r="S1281" s="26"/>
      <c r="T1281" s="26"/>
      <c r="U1281" s="26"/>
      <c r="V1281" s="26"/>
      <c r="W1281" s="26"/>
      <c r="X1281" s="26"/>
      <c r="Y1281" s="26"/>
      <c r="Z1281" s="26"/>
      <c r="AA1281" s="26"/>
      <c r="AB1281" s="26"/>
      <c r="AC1281" s="26"/>
      <c r="AD1281" s="26"/>
      <c r="AE1281" s="26"/>
      <c r="AF1281" s="26"/>
      <c r="AG1281" s="26"/>
      <c r="AH1281" s="26"/>
      <c r="AI1281" s="26"/>
      <c r="AJ1281" s="26"/>
      <c r="AK1281" s="26"/>
      <c r="AL1281" s="26"/>
      <c r="AM1281" s="26"/>
      <c r="AN1281" s="26"/>
      <c r="AO1281" s="26"/>
      <c r="AP1281" s="26"/>
      <c r="AQ1281" s="26"/>
      <c r="AR1281" s="26"/>
      <c r="AS1281" s="26"/>
      <c r="AT1281" s="26"/>
      <c r="AU1281" s="26"/>
      <c r="AV1281" s="26"/>
      <c r="AW1281" s="26"/>
      <c r="AX1281" s="26"/>
      <c r="AY1281" s="26"/>
    </row>
    <row r="1282" spans="1:51" ht="12.75" customHeight="1" x14ac:dyDescent="0.25">
      <c r="A1282" s="26"/>
      <c r="B1282" s="66"/>
      <c r="C1282" s="67"/>
      <c r="D1282" s="67"/>
      <c r="E1282" s="26"/>
      <c r="F1282" s="26"/>
      <c r="G1282" s="26"/>
      <c r="H1282" s="26"/>
      <c r="I1282" s="26"/>
      <c r="J1282" s="26"/>
      <c r="K1282" s="26"/>
      <c r="L1282" s="26"/>
      <c r="M1282" s="26"/>
      <c r="N1282" s="26"/>
      <c r="O1282" s="26"/>
      <c r="P1282" s="26"/>
      <c r="Q1282" s="26"/>
      <c r="R1282" s="26"/>
      <c r="S1282" s="26"/>
      <c r="T1282" s="26"/>
      <c r="U1282" s="26"/>
      <c r="V1282" s="26"/>
      <c r="W1282" s="26"/>
      <c r="X1282" s="26"/>
      <c r="Y1282" s="26"/>
      <c r="Z1282" s="26"/>
      <c r="AA1282" s="26"/>
      <c r="AB1282" s="26"/>
      <c r="AC1282" s="26"/>
      <c r="AD1282" s="26"/>
      <c r="AE1282" s="26"/>
      <c r="AF1282" s="26"/>
      <c r="AG1282" s="26"/>
      <c r="AH1282" s="26"/>
      <c r="AI1282" s="26"/>
      <c r="AJ1282" s="26"/>
      <c r="AK1282" s="26"/>
      <c r="AL1282" s="26"/>
      <c r="AM1282" s="26"/>
      <c r="AN1282" s="26"/>
      <c r="AO1282" s="26"/>
      <c r="AP1282" s="26"/>
      <c r="AQ1282" s="26"/>
      <c r="AR1282" s="26"/>
      <c r="AS1282" s="26"/>
      <c r="AT1282" s="26"/>
      <c r="AU1282" s="26"/>
      <c r="AV1282" s="26"/>
      <c r="AW1282" s="26"/>
      <c r="AX1282" s="26"/>
      <c r="AY1282" s="26"/>
    </row>
    <row r="1283" spans="1:51" ht="12.75" customHeight="1" x14ac:dyDescent="0.25">
      <c r="A1283" s="26"/>
      <c r="B1283" s="66"/>
      <c r="C1283" s="67"/>
      <c r="D1283" s="67"/>
      <c r="E1283" s="26"/>
      <c r="F1283" s="26"/>
      <c r="G1283" s="26"/>
      <c r="H1283" s="26"/>
      <c r="I1283" s="26"/>
      <c r="J1283" s="26"/>
      <c r="K1283" s="26"/>
      <c r="L1283" s="26"/>
      <c r="M1283" s="26"/>
      <c r="N1283" s="26"/>
      <c r="O1283" s="26"/>
      <c r="P1283" s="26"/>
      <c r="Q1283" s="26"/>
      <c r="R1283" s="26"/>
      <c r="S1283" s="26"/>
      <c r="T1283" s="26"/>
      <c r="U1283" s="26"/>
      <c r="V1283" s="26"/>
      <c r="W1283" s="26"/>
      <c r="X1283" s="26"/>
      <c r="Y1283" s="26"/>
      <c r="Z1283" s="26"/>
      <c r="AA1283" s="26"/>
      <c r="AB1283" s="26"/>
      <c r="AC1283" s="26"/>
      <c r="AD1283" s="26"/>
      <c r="AE1283" s="26"/>
      <c r="AF1283" s="26"/>
      <c r="AG1283" s="26"/>
      <c r="AH1283" s="26"/>
      <c r="AI1283" s="26"/>
      <c r="AJ1283" s="26"/>
      <c r="AK1283" s="26"/>
      <c r="AL1283" s="26"/>
      <c r="AM1283" s="26"/>
      <c r="AN1283" s="26"/>
      <c r="AO1283" s="26"/>
      <c r="AP1283" s="26"/>
      <c r="AQ1283" s="26"/>
      <c r="AR1283" s="26"/>
      <c r="AS1283" s="26"/>
      <c r="AT1283" s="26"/>
      <c r="AU1283" s="26"/>
      <c r="AV1283" s="26"/>
      <c r="AW1283" s="26"/>
      <c r="AX1283" s="26"/>
      <c r="AY1283" s="26"/>
    </row>
    <row r="1284" spans="1:51" ht="12.75" customHeight="1" x14ac:dyDescent="0.25">
      <c r="A1284" s="26"/>
      <c r="B1284" s="66"/>
      <c r="C1284" s="67"/>
      <c r="D1284" s="67"/>
      <c r="E1284" s="26"/>
      <c r="F1284" s="26"/>
      <c r="G1284" s="26"/>
      <c r="H1284" s="26"/>
      <c r="I1284" s="26"/>
      <c r="J1284" s="26"/>
      <c r="K1284" s="26"/>
      <c r="L1284" s="26"/>
      <c r="M1284" s="26"/>
      <c r="N1284" s="26"/>
      <c r="O1284" s="26"/>
      <c r="P1284" s="26"/>
      <c r="Q1284" s="26"/>
      <c r="R1284" s="26"/>
      <c r="S1284" s="26"/>
      <c r="T1284" s="26"/>
      <c r="U1284" s="26"/>
      <c r="V1284" s="26"/>
      <c r="W1284" s="26"/>
      <c r="X1284" s="26"/>
      <c r="Y1284" s="26"/>
      <c r="Z1284" s="26"/>
      <c r="AA1284" s="26"/>
      <c r="AB1284" s="26"/>
      <c r="AC1284" s="26"/>
      <c r="AD1284" s="26"/>
      <c r="AE1284" s="26"/>
      <c r="AF1284" s="26"/>
      <c r="AG1284" s="26"/>
      <c r="AH1284" s="26"/>
      <c r="AI1284" s="26"/>
      <c r="AJ1284" s="26"/>
      <c r="AK1284" s="26"/>
      <c r="AL1284" s="26"/>
      <c r="AM1284" s="26"/>
      <c r="AN1284" s="26"/>
      <c r="AO1284" s="26"/>
      <c r="AP1284" s="26"/>
      <c r="AQ1284" s="26"/>
      <c r="AR1284" s="26"/>
      <c r="AS1284" s="26"/>
      <c r="AT1284" s="26"/>
      <c r="AU1284" s="26"/>
      <c r="AV1284" s="26"/>
      <c r="AW1284" s="26"/>
      <c r="AX1284" s="26"/>
      <c r="AY1284" s="26"/>
    </row>
    <row r="1285" spans="1:51" ht="12.75" customHeight="1" x14ac:dyDescent="0.25">
      <c r="A1285" s="26"/>
      <c r="B1285" s="66"/>
      <c r="C1285" s="67"/>
      <c r="D1285" s="67"/>
      <c r="E1285" s="26"/>
      <c r="F1285" s="26"/>
      <c r="G1285" s="26"/>
      <c r="H1285" s="26"/>
      <c r="I1285" s="26"/>
      <c r="J1285" s="26"/>
      <c r="K1285" s="26"/>
      <c r="L1285" s="26"/>
      <c r="M1285" s="26"/>
      <c r="N1285" s="26"/>
      <c r="O1285" s="26"/>
      <c r="P1285" s="26"/>
      <c r="Q1285" s="26"/>
      <c r="R1285" s="26"/>
      <c r="S1285" s="26"/>
      <c r="T1285" s="26"/>
      <c r="U1285" s="26"/>
      <c r="V1285" s="26"/>
      <c r="W1285" s="26"/>
      <c r="X1285" s="26"/>
      <c r="Y1285" s="26"/>
      <c r="Z1285" s="26"/>
      <c r="AA1285" s="26"/>
      <c r="AB1285" s="26"/>
      <c r="AC1285" s="26"/>
      <c r="AD1285" s="26"/>
      <c r="AE1285" s="26"/>
      <c r="AF1285" s="26"/>
      <c r="AG1285" s="26"/>
      <c r="AH1285" s="26"/>
      <c r="AI1285" s="26"/>
      <c r="AJ1285" s="26"/>
      <c r="AK1285" s="26"/>
      <c r="AL1285" s="26"/>
      <c r="AM1285" s="26"/>
      <c r="AN1285" s="26"/>
      <c r="AO1285" s="26"/>
      <c r="AP1285" s="26"/>
      <c r="AQ1285" s="26"/>
      <c r="AR1285" s="26"/>
      <c r="AS1285" s="26"/>
      <c r="AT1285" s="26"/>
      <c r="AU1285" s="26"/>
      <c r="AV1285" s="26"/>
      <c r="AW1285" s="26"/>
      <c r="AX1285" s="26"/>
      <c r="AY1285" s="26"/>
    </row>
    <row r="1286" spans="1:51" ht="12.75" customHeight="1" x14ac:dyDescent="0.25">
      <c r="A1286" s="26"/>
      <c r="B1286" s="66"/>
      <c r="C1286" s="67"/>
      <c r="D1286" s="67"/>
      <c r="E1286" s="26"/>
      <c r="F1286" s="26"/>
      <c r="G1286" s="26"/>
      <c r="H1286" s="26"/>
      <c r="I1286" s="26"/>
      <c r="J1286" s="26"/>
      <c r="K1286" s="26"/>
      <c r="L1286" s="26"/>
      <c r="M1286" s="26"/>
      <c r="N1286" s="26"/>
      <c r="O1286" s="26"/>
      <c r="P1286" s="26"/>
      <c r="Q1286" s="26"/>
      <c r="R1286" s="26"/>
      <c r="S1286" s="26"/>
      <c r="T1286" s="26"/>
      <c r="U1286" s="26"/>
      <c r="V1286" s="26"/>
      <c r="W1286" s="26"/>
      <c r="X1286" s="26"/>
      <c r="Y1286" s="26"/>
      <c r="Z1286" s="26"/>
      <c r="AA1286" s="26"/>
      <c r="AB1286" s="26"/>
      <c r="AC1286" s="26"/>
      <c r="AD1286" s="26"/>
      <c r="AE1286" s="26"/>
      <c r="AF1286" s="26"/>
      <c r="AG1286" s="26"/>
      <c r="AH1286" s="26"/>
      <c r="AI1286" s="26"/>
      <c r="AJ1286" s="26"/>
      <c r="AK1286" s="26"/>
      <c r="AL1286" s="26"/>
      <c r="AM1286" s="26"/>
      <c r="AN1286" s="26"/>
      <c r="AO1286" s="26"/>
      <c r="AP1286" s="26"/>
      <c r="AQ1286" s="26"/>
      <c r="AR1286" s="26"/>
      <c r="AS1286" s="26"/>
      <c r="AT1286" s="26"/>
      <c r="AU1286" s="26"/>
      <c r="AV1286" s="26"/>
      <c r="AW1286" s="26"/>
      <c r="AX1286" s="26"/>
      <c r="AY1286" s="26"/>
    </row>
    <row r="1287" spans="1:51" ht="12.75" customHeight="1" x14ac:dyDescent="0.25">
      <c r="A1287" s="26"/>
      <c r="B1287" s="66"/>
      <c r="C1287" s="67"/>
      <c r="D1287" s="67"/>
      <c r="E1287" s="26"/>
      <c r="F1287" s="26"/>
      <c r="G1287" s="26"/>
      <c r="H1287" s="26"/>
      <c r="I1287" s="26"/>
      <c r="J1287" s="26"/>
      <c r="K1287" s="26"/>
      <c r="L1287" s="26"/>
      <c r="M1287" s="26"/>
      <c r="N1287" s="26"/>
      <c r="O1287" s="26"/>
      <c r="P1287" s="26"/>
      <c r="Q1287" s="26"/>
      <c r="R1287" s="26"/>
      <c r="S1287" s="26"/>
      <c r="T1287" s="26"/>
      <c r="U1287" s="26"/>
      <c r="V1287" s="26"/>
      <c r="W1287" s="26"/>
      <c r="X1287" s="26"/>
      <c r="Y1287" s="26"/>
      <c r="Z1287" s="26"/>
      <c r="AA1287" s="26"/>
      <c r="AB1287" s="26"/>
      <c r="AC1287" s="26"/>
      <c r="AD1287" s="26"/>
      <c r="AE1287" s="26"/>
      <c r="AF1287" s="26"/>
      <c r="AG1287" s="26"/>
      <c r="AH1287" s="26"/>
      <c r="AI1287" s="26"/>
      <c r="AJ1287" s="26"/>
      <c r="AK1287" s="26"/>
      <c r="AL1287" s="26"/>
      <c r="AM1287" s="26"/>
      <c r="AN1287" s="26"/>
      <c r="AO1287" s="26"/>
      <c r="AP1287" s="26"/>
      <c r="AQ1287" s="26"/>
      <c r="AR1287" s="26"/>
      <c r="AS1287" s="26"/>
      <c r="AT1287" s="26"/>
      <c r="AU1287" s="26"/>
      <c r="AV1287" s="26"/>
      <c r="AW1287" s="26"/>
      <c r="AX1287" s="26"/>
      <c r="AY1287" s="26"/>
    </row>
    <row r="1288" spans="1:51" ht="12.75" customHeight="1" x14ac:dyDescent="0.25">
      <c r="A1288" s="26"/>
      <c r="B1288" s="66"/>
      <c r="C1288" s="67"/>
      <c r="D1288" s="67"/>
      <c r="E1288" s="26"/>
      <c r="F1288" s="26"/>
      <c r="G1288" s="26"/>
      <c r="H1288" s="26"/>
      <c r="I1288" s="26"/>
      <c r="J1288" s="26"/>
      <c r="K1288" s="26"/>
      <c r="L1288" s="26"/>
      <c r="M1288" s="26"/>
      <c r="N1288" s="26"/>
      <c r="O1288" s="26"/>
      <c r="P1288" s="26"/>
      <c r="Q1288" s="26"/>
      <c r="R1288" s="26"/>
      <c r="S1288" s="26"/>
      <c r="T1288" s="26"/>
      <c r="U1288" s="26"/>
      <c r="V1288" s="26"/>
      <c r="W1288" s="26"/>
      <c r="X1288" s="26"/>
      <c r="Y1288" s="26"/>
      <c r="Z1288" s="26"/>
      <c r="AA1288" s="26"/>
      <c r="AB1288" s="26"/>
      <c r="AC1288" s="26"/>
      <c r="AD1288" s="26"/>
      <c r="AE1288" s="26"/>
      <c r="AF1288" s="26"/>
      <c r="AG1288" s="26"/>
      <c r="AH1288" s="26"/>
      <c r="AI1288" s="26"/>
      <c r="AJ1288" s="26"/>
      <c r="AK1288" s="26"/>
      <c r="AL1288" s="26"/>
      <c r="AM1288" s="26"/>
      <c r="AN1288" s="26"/>
      <c r="AO1288" s="26"/>
      <c r="AP1288" s="26"/>
      <c r="AQ1288" s="26"/>
      <c r="AR1288" s="26"/>
      <c r="AS1288" s="26"/>
      <c r="AT1288" s="26"/>
      <c r="AU1288" s="26"/>
      <c r="AV1288" s="26"/>
      <c r="AW1288" s="26"/>
      <c r="AX1288" s="26"/>
      <c r="AY1288" s="26"/>
    </row>
    <row r="1289" spans="1:51" ht="12.75" customHeight="1" x14ac:dyDescent="0.25">
      <c r="A1289" s="26"/>
      <c r="B1289" s="66"/>
      <c r="C1289" s="67"/>
      <c r="D1289" s="67"/>
      <c r="E1289" s="26"/>
      <c r="F1289" s="26"/>
      <c r="G1289" s="26"/>
      <c r="H1289" s="26"/>
      <c r="I1289" s="26"/>
      <c r="J1289" s="26"/>
      <c r="K1289" s="26"/>
      <c r="L1289" s="26"/>
      <c r="M1289" s="26"/>
      <c r="N1289" s="26"/>
      <c r="O1289" s="26"/>
      <c r="P1289" s="26"/>
      <c r="Q1289" s="26"/>
      <c r="R1289" s="26"/>
      <c r="S1289" s="26"/>
      <c r="T1289" s="26"/>
      <c r="U1289" s="26"/>
      <c r="V1289" s="26"/>
      <c r="W1289" s="26"/>
      <c r="X1289" s="26"/>
      <c r="Y1289" s="26"/>
      <c r="Z1289" s="26"/>
      <c r="AA1289" s="26"/>
      <c r="AB1289" s="26"/>
      <c r="AC1289" s="26"/>
      <c r="AD1289" s="26"/>
      <c r="AE1289" s="26"/>
      <c r="AF1289" s="26"/>
      <c r="AG1289" s="26"/>
      <c r="AH1289" s="26"/>
      <c r="AI1289" s="26"/>
      <c r="AJ1289" s="26"/>
      <c r="AK1289" s="26"/>
      <c r="AL1289" s="26"/>
      <c r="AM1289" s="26"/>
      <c r="AN1289" s="26"/>
      <c r="AO1289" s="26"/>
      <c r="AP1289" s="26"/>
      <c r="AQ1289" s="26"/>
      <c r="AR1289" s="26"/>
      <c r="AS1289" s="26"/>
      <c r="AT1289" s="26"/>
      <c r="AU1289" s="26"/>
      <c r="AV1289" s="26"/>
      <c r="AW1289" s="26"/>
      <c r="AX1289" s="26"/>
      <c r="AY1289" s="26"/>
    </row>
    <row r="1290" spans="1:51" ht="12.75" customHeight="1" x14ac:dyDescent="0.25">
      <c r="A1290" s="26"/>
      <c r="B1290" s="66"/>
      <c r="C1290" s="67"/>
      <c r="D1290" s="67"/>
      <c r="E1290" s="26"/>
      <c r="F1290" s="26"/>
      <c r="G1290" s="26"/>
      <c r="H1290" s="26"/>
      <c r="I1290" s="26"/>
      <c r="J1290" s="26"/>
      <c r="K1290" s="26"/>
      <c r="L1290" s="26"/>
      <c r="M1290" s="26"/>
      <c r="N1290" s="26"/>
      <c r="O1290" s="26"/>
      <c r="P1290" s="26"/>
      <c r="Q1290" s="26"/>
      <c r="R1290" s="26"/>
      <c r="S1290" s="26"/>
      <c r="T1290" s="26"/>
      <c r="U1290" s="26"/>
      <c r="V1290" s="26"/>
      <c r="W1290" s="26"/>
      <c r="X1290" s="26"/>
      <c r="Y1290" s="26"/>
      <c r="Z1290" s="26"/>
      <c r="AA1290" s="26"/>
      <c r="AB1290" s="26"/>
      <c r="AC1290" s="26"/>
      <c r="AD1290" s="26"/>
      <c r="AE1290" s="26"/>
      <c r="AF1290" s="26"/>
      <c r="AG1290" s="26"/>
      <c r="AH1290" s="26"/>
      <c r="AI1290" s="26"/>
      <c r="AJ1290" s="26"/>
      <c r="AK1290" s="26"/>
      <c r="AL1290" s="26"/>
      <c r="AM1290" s="26"/>
      <c r="AN1290" s="26"/>
      <c r="AO1290" s="26"/>
      <c r="AP1290" s="26"/>
      <c r="AQ1290" s="26"/>
      <c r="AR1290" s="26"/>
      <c r="AS1290" s="26"/>
      <c r="AT1290" s="26"/>
      <c r="AU1290" s="26"/>
      <c r="AV1290" s="26"/>
      <c r="AW1290" s="26"/>
      <c r="AX1290" s="26"/>
      <c r="AY1290" s="26"/>
    </row>
    <row r="1291" spans="1:51" ht="12.75" customHeight="1" x14ac:dyDescent="0.25">
      <c r="A1291" s="26"/>
      <c r="B1291" s="66"/>
      <c r="C1291" s="67"/>
      <c r="D1291" s="67"/>
      <c r="E1291" s="26"/>
      <c r="F1291" s="26"/>
      <c r="G1291" s="26"/>
      <c r="H1291" s="26"/>
      <c r="I1291" s="26"/>
      <c r="J1291" s="26"/>
      <c r="K1291" s="26"/>
      <c r="L1291" s="26"/>
      <c r="M1291" s="26"/>
      <c r="N1291" s="26"/>
      <c r="O1291" s="26"/>
      <c r="P1291" s="26"/>
      <c r="Q1291" s="26"/>
      <c r="R1291" s="26"/>
      <c r="S1291" s="26"/>
      <c r="T1291" s="26"/>
      <c r="U1291" s="26"/>
      <c r="V1291" s="26"/>
      <c r="W1291" s="26"/>
      <c r="X1291" s="26"/>
      <c r="Y1291" s="26"/>
      <c r="Z1291" s="26"/>
      <c r="AA1291" s="26"/>
      <c r="AB1291" s="26"/>
      <c r="AC1291" s="26"/>
      <c r="AD1291" s="26"/>
      <c r="AE1291" s="26"/>
      <c r="AF1291" s="26"/>
      <c r="AG1291" s="26"/>
      <c r="AH1291" s="26"/>
      <c r="AI1291" s="26"/>
      <c r="AJ1291" s="26"/>
      <c r="AK1291" s="26"/>
      <c r="AL1291" s="26"/>
      <c r="AM1291" s="26"/>
      <c r="AN1291" s="26"/>
      <c r="AO1291" s="26"/>
      <c r="AP1291" s="26"/>
      <c r="AQ1291" s="26"/>
      <c r="AR1291" s="26"/>
      <c r="AS1291" s="26"/>
      <c r="AT1291" s="26"/>
      <c r="AU1291" s="26"/>
      <c r="AV1291" s="26"/>
      <c r="AW1291" s="26"/>
      <c r="AX1291" s="26"/>
      <c r="AY1291" s="26"/>
    </row>
    <row r="1292" spans="1:51" ht="12.75" customHeight="1" x14ac:dyDescent="0.25">
      <c r="A1292" s="26"/>
      <c r="B1292" s="66"/>
      <c r="C1292" s="67"/>
      <c r="D1292" s="67"/>
      <c r="E1292" s="26"/>
      <c r="F1292" s="26"/>
      <c r="G1292" s="26"/>
      <c r="H1292" s="26"/>
      <c r="I1292" s="26"/>
      <c r="J1292" s="26"/>
      <c r="K1292" s="26"/>
      <c r="L1292" s="26"/>
      <c r="M1292" s="26"/>
      <c r="N1292" s="26"/>
      <c r="O1292" s="26"/>
      <c r="P1292" s="26"/>
      <c r="Q1292" s="26"/>
      <c r="R1292" s="26"/>
      <c r="S1292" s="26"/>
      <c r="T1292" s="26"/>
      <c r="U1292" s="26"/>
      <c r="V1292" s="26"/>
      <c r="W1292" s="26"/>
      <c r="X1292" s="26"/>
      <c r="Y1292" s="26"/>
      <c r="Z1292" s="26"/>
      <c r="AA1292" s="26"/>
      <c r="AB1292" s="26"/>
      <c r="AC1292" s="26"/>
      <c r="AD1292" s="26"/>
      <c r="AE1292" s="26"/>
      <c r="AF1292" s="26"/>
      <c r="AG1292" s="26"/>
      <c r="AH1292" s="26"/>
      <c r="AI1292" s="26"/>
      <c r="AJ1292" s="26"/>
      <c r="AK1292" s="26"/>
      <c r="AL1292" s="26"/>
      <c r="AM1292" s="26"/>
      <c r="AN1292" s="26"/>
      <c r="AO1292" s="26"/>
      <c r="AP1292" s="26"/>
      <c r="AQ1292" s="26"/>
      <c r="AR1292" s="26"/>
      <c r="AS1292" s="26"/>
      <c r="AT1292" s="26"/>
      <c r="AU1292" s="26"/>
      <c r="AV1292" s="26"/>
      <c r="AW1292" s="26"/>
      <c r="AX1292" s="26"/>
      <c r="AY1292" s="26"/>
    </row>
    <row r="1293" spans="1:51" ht="12.75" customHeight="1" x14ac:dyDescent="0.25">
      <c r="A1293" s="26"/>
      <c r="B1293" s="66"/>
      <c r="C1293" s="67"/>
      <c r="D1293" s="67"/>
      <c r="E1293" s="26"/>
      <c r="F1293" s="26"/>
      <c r="G1293" s="26"/>
      <c r="H1293" s="26"/>
      <c r="I1293" s="26"/>
      <c r="J1293" s="26"/>
      <c r="K1293" s="26"/>
      <c r="L1293" s="26"/>
      <c r="M1293" s="26"/>
      <c r="N1293" s="26"/>
      <c r="O1293" s="26"/>
      <c r="P1293" s="26"/>
      <c r="Q1293" s="26"/>
      <c r="R1293" s="26"/>
      <c r="S1293" s="26"/>
      <c r="T1293" s="26"/>
      <c r="U1293" s="26"/>
      <c r="V1293" s="26"/>
      <c r="W1293" s="26"/>
      <c r="X1293" s="26"/>
      <c r="Y1293" s="26"/>
      <c r="Z1293" s="26"/>
      <c r="AA1293" s="26"/>
      <c r="AB1293" s="26"/>
      <c r="AC1293" s="26"/>
      <c r="AD1293" s="26"/>
      <c r="AE1293" s="26"/>
      <c r="AF1293" s="26"/>
      <c r="AG1293" s="26"/>
      <c r="AH1293" s="26"/>
      <c r="AI1293" s="26"/>
      <c r="AJ1293" s="26"/>
      <c r="AK1293" s="26"/>
      <c r="AL1293" s="26"/>
      <c r="AM1293" s="26"/>
      <c r="AN1293" s="26"/>
      <c r="AO1293" s="26"/>
      <c r="AP1293" s="26"/>
      <c r="AQ1293" s="26"/>
      <c r="AR1293" s="26"/>
      <c r="AS1293" s="26"/>
      <c r="AT1293" s="26"/>
      <c r="AU1293" s="26"/>
      <c r="AV1293" s="26"/>
      <c r="AW1293" s="26"/>
      <c r="AX1293" s="26"/>
      <c r="AY1293" s="26"/>
    </row>
    <row r="1294" spans="1:51" ht="12.75" customHeight="1" x14ac:dyDescent="0.25">
      <c r="A1294" s="26"/>
      <c r="B1294" s="66"/>
      <c r="C1294" s="67"/>
      <c r="D1294" s="67"/>
      <c r="E1294" s="26"/>
      <c r="F1294" s="26"/>
      <c r="G1294" s="26"/>
      <c r="H1294" s="26"/>
      <c r="I1294" s="26"/>
      <c r="J1294" s="26"/>
      <c r="K1294" s="26"/>
      <c r="L1294" s="26"/>
      <c r="M1294" s="26"/>
      <c r="N1294" s="26"/>
      <c r="O1294" s="26"/>
      <c r="P1294" s="26"/>
      <c r="Q1294" s="26"/>
      <c r="R1294" s="26"/>
      <c r="S1294" s="26"/>
      <c r="T1294" s="26"/>
      <c r="U1294" s="26"/>
      <c r="V1294" s="26"/>
      <c r="W1294" s="26"/>
      <c r="X1294" s="26"/>
      <c r="Y1294" s="26"/>
      <c r="Z1294" s="26"/>
      <c r="AA1294" s="26"/>
      <c r="AB1294" s="26"/>
      <c r="AC1294" s="26"/>
      <c r="AD1294" s="26"/>
      <c r="AE1294" s="26"/>
      <c r="AF1294" s="26"/>
      <c r="AG1294" s="26"/>
      <c r="AH1294" s="26"/>
      <c r="AI1294" s="26"/>
      <c r="AJ1294" s="26"/>
      <c r="AK1294" s="26"/>
      <c r="AL1294" s="26"/>
      <c r="AM1294" s="26"/>
      <c r="AN1294" s="26"/>
      <c r="AO1294" s="26"/>
      <c r="AP1294" s="26"/>
      <c r="AQ1294" s="26"/>
      <c r="AR1294" s="26"/>
      <c r="AS1294" s="26"/>
      <c r="AT1294" s="26"/>
      <c r="AU1294" s="26"/>
      <c r="AV1294" s="26"/>
      <c r="AW1294" s="26"/>
      <c r="AX1294" s="26"/>
      <c r="AY1294" s="26"/>
    </row>
    <row r="1295" spans="1:51" ht="12.75" customHeight="1" x14ac:dyDescent="0.25">
      <c r="A1295" s="26"/>
      <c r="B1295" s="66"/>
      <c r="C1295" s="67"/>
      <c r="D1295" s="67"/>
      <c r="E1295" s="26"/>
      <c r="F1295" s="26"/>
      <c r="G1295" s="26"/>
      <c r="H1295" s="26"/>
      <c r="I1295" s="26"/>
      <c r="J1295" s="26"/>
      <c r="K1295" s="26"/>
      <c r="L1295" s="26"/>
      <c r="M1295" s="26"/>
      <c r="N1295" s="26"/>
      <c r="O1295" s="26"/>
      <c r="P1295" s="26"/>
      <c r="Q1295" s="26"/>
      <c r="R1295" s="26"/>
      <c r="S1295" s="26"/>
      <c r="T1295" s="26"/>
      <c r="U1295" s="26"/>
      <c r="V1295" s="26"/>
      <c r="W1295" s="26"/>
      <c r="X1295" s="26"/>
      <c r="Y1295" s="26"/>
      <c r="Z1295" s="26"/>
      <c r="AA1295" s="26"/>
      <c r="AB1295" s="26"/>
      <c r="AC1295" s="26"/>
      <c r="AD1295" s="26"/>
      <c r="AE1295" s="26"/>
      <c r="AF1295" s="26"/>
      <c r="AG1295" s="26"/>
      <c r="AH1295" s="26"/>
      <c r="AI1295" s="26"/>
      <c r="AJ1295" s="26"/>
      <c r="AK1295" s="26"/>
      <c r="AL1295" s="26"/>
      <c r="AM1295" s="26"/>
      <c r="AN1295" s="26"/>
      <c r="AO1295" s="26"/>
      <c r="AP1295" s="26"/>
      <c r="AQ1295" s="26"/>
      <c r="AR1295" s="26"/>
      <c r="AS1295" s="26"/>
      <c r="AT1295" s="26"/>
      <c r="AU1295" s="26"/>
      <c r="AV1295" s="26"/>
      <c r="AW1295" s="26"/>
      <c r="AX1295" s="26"/>
      <c r="AY1295" s="26"/>
    </row>
    <row r="1296" spans="1:51" ht="12.75" customHeight="1" x14ac:dyDescent="0.25">
      <c r="A1296" s="26"/>
      <c r="B1296" s="66"/>
      <c r="C1296" s="67"/>
      <c r="D1296" s="67"/>
      <c r="E1296" s="26"/>
      <c r="F1296" s="26"/>
      <c r="G1296" s="26"/>
      <c r="H1296" s="26"/>
      <c r="I1296" s="26"/>
      <c r="J1296" s="26"/>
      <c r="K1296" s="26"/>
      <c r="L1296" s="26"/>
      <c r="M1296" s="26"/>
      <c r="N1296" s="26"/>
      <c r="O1296" s="26"/>
      <c r="P1296" s="26"/>
      <c r="Q1296" s="26"/>
      <c r="R1296" s="26"/>
      <c r="S1296" s="26"/>
      <c r="T1296" s="26"/>
      <c r="U1296" s="26"/>
      <c r="V1296" s="26"/>
      <c r="W1296" s="26"/>
      <c r="X1296" s="26"/>
      <c r="Y1296" s="26"/>
      <c r="Z1296" s="26"/>
      <c r="AA1296" s="26"/>
      <c r="AB1296" s="26"/>
      <c r="AC1296" s="26"/>
      <c r="AD1296" s="26"/>
      <c r="AE1296" s="26"/>
      <c r="AF1296" s="26"/>
      <c r="AG1296" s="26"/>
      <c r="AH1296" s="26"/>
      <c r="AI1296" s="26"/>
      <c r="AJ1296" s="26"/>
      <c r="AK1296" s="26"/>
      <c r="AL1296" s="26"/>
      <c r="AM1296" s="26"/>
      <c r="AN1296" s="26"/>
      <c r="AO1296" s="26"/>
      <c r="AP1296" s="26"/>
      <c r="AQ1296" s="26"/>
      <c r="AR1296" s="26"/>
      <c r="AS1296" s="26"/>
      <c r="AT1296" s="26"/>
      <c r="AU1296" s="26"/>
      <c r="AV1296" s="26"/>
      <c r="AW1296" s="26"/>
      <c r="AX1296" s="26"/>
      <c r="AY1296" s="26"/>
    </row>
    <row r="1297" spans="1:51" ht="12.75" customHeight="1" x14ac:dyDescent="0.25">
      <c r="A1297" s="26"/>
      <c r="B1297" s="66"/>
      <c r="C1297" s="67"/>
      <c r="D1297" s="67"/>
      <c r="E1297" s="26"/>
      <c r="F1297" s="26"/>
      <c r="G1297" s="26"/>
      <c r="H1297" s="26"/>
      <c r="I1297" s="26"/>
      <c r="J1297" s="26"/>
      <c r="K1297" s="26"/>
      <c r="L1297" s="26"/>
      <c r="M1297" s="26"/>
      <c r="N1297" s="26"/>
      <c r="O1297" s="26"/>
      <c r="P1297" s="26"/>
      <c r="Q1297" s="26"/>
      <c r="R1297" s="26"/>
      <c r="S1297" s="26"/>
      <c r="T1297" s="26"/>
      <c r="U1297" s="26"/>
      <c r="V1297" s="26"/>
      <c r="W1297" s="26"/>
      <c r="X1297" s="26"/>
      <c r="Y1297" s="26"/>
      <c r="Z1297" s="26"/>
      <c r="AA1297" s="26"/>
      <c r="AB1297" s="26"/>
      <c r="AC1297" s="26"/>
      <c r="AD1297" s="26"/>
      <c r="AE1297" s="26"/>
      <c r="AF1297" s="26"/>
      <c r="AG1297" s="26"/>
      <c r="AH1297" s="26"/>
      <c r="AI1297" s="26"/>
      <c r="AJ1297" s="26"/>
      <c r="AK1297" s="26"/>
      <c r="AL1297" s="26"/>
      <c r="AM1297" s="26"/>
      <c r="AN1297" s="26"/>
      <c r="AO1297" s="26"/>
      <c r="AP1297" s="26"/>
      <c r="AQ1297" s="26"/>
      <c r="AR1297" s="26"/>
      <c r="AS1297" s="26"/>
      <c r="AT1297" s="26"/>
      <c r="AU1297" s="26"/>
      <c r="AV1297" s="26"/>
      <c r="AW1297" s="26"/>
      <c r="AX1297" s="26"/>
      <c r="AY1297" s="26"/>
    </row>
    <row r="1298" spans="1:51" ht="12.75" customHeight="1" x14ac:dyDescent="0.25">
      <c r="A1298" s="26"/>
      <c r="B1298" s="66"/>
      <c r="C1298" s="67"/>
      <c r="D1298" s="67"/>
      <c r="E1298" s="26"/>
      <c r="F1298" s="26"/>
      <c r="G1298" s="26"/>
      <c r="H1298" s="26"/>
      <c r="I1298" s="26"/>
      <c r="J1298" s="26"/>
      <c r="K1298" s="26"/>
      <c r="L1298" s="26"/>
      <c r="M1298" s="26"/>
      <c r="N1298" s="26"/>
      <c r="O1298" s="26"/>
      <c r="P1298" s="26"/>
      <c r="Q1298" s="26"/>
      <c r="R1298" s="26"/>
      <c r="S1298" s="26"/>
      <c r="T1298" s="26"/>
      <c r="U1298" s="26"/>
      <c r="V1298" s="26"/>
      <c r="W1298" s="26"/>
      <c r="X1298" s="26"/>
      <c r="Y1298" s="26"/>
      <c r="Z1298" s="26"/>
      <c r="AA1298" s="26"/>
      <c r="AB1298" s="26"/>
      <c r="AC1298" s="26"/>
      <c r="AD1298" s="26"/>
      <c r="AE1298" s="26"/>
      <c r="AF1298" s="26"/>
      <c r="AG1298" s="26"/>
      <c r="AH1298" s="26"/>
      <c r="AI1298" s="26"/>
      <c r="AJ1298" s="26"/>
      <c r="AK1298" s="26"/>
      <c r="AL1298" s="26"/>
      <c r="AM1298" s="26"/>
      <c r="AN1298" s="26"/>
      <c r="AO1298" s="26"/>
      <c r="AP1298" s="26"/>
      <c r="AQ1298" s="26"/>
      <c r="AR1298" s="26"/>
      <c r="AS1298" s="26"/>
      <c r="AT1298" s="26"/>
      <c r="AU1298" s="26"/>
      <c r="AV1298" s="26"/>
      <c r="AW1298" s="26"/>
      <c r="AX1298" s="26"/>
      <c r="AY1298" s="26"/>
    </row>
    <row r="1299" spans="1:51" ht="12.75" customHeight="1" x14ac:dyDescent="0.25">
      <c r="A1299" s="26"/>
      <c r="B1299" s="66"/>
      <c r="C1299" s="67"/>
      <c r="D1299" s="67"/>
      <c r="E1299" s="26"/>
      <c r="F1299" s="26"/>
      <c r="G1299" s="26"/>
      <c r="H1299" s="26"/>
      <c r="I1299" s="26"/>
      <c r="J1299" s="26"/>
      <c r="K1299" s="26"/>
      <c r="L1299" s="26"/>
      <c r="M1299" s="26"/>
      <c r="N1299" s="26"/>
      <c r="O1299" s="26"/>
      <c r="P1299" s="26"/>
      <c r="Q1299" s="26"/>
      <c r="R1299" s="26"/>
      <c r="S1299" s="26"/>
      <c r="T1299" s="26"/>
      <c r="U1299" s="26"/>
      <c r="V1299" s="26"/>
      <c r="W1299" s="26"/>
      <c r="X1299" s="26"/>
      <c r="Y1299" s="26"/>
      <c r="Z1299" s="26"/>
      <c r="AA1299" s="26"/>
      <c r="AB1299" s="26"/>
      <c r="AC1299" s="26"/>
      <c r="AD1299" s="26"/>
      <c r="AE1299" s="26"/>
      <c r="AF1299" s="26"/>
      <c r="AG1299" s="26"/>
      <c r="AH1299" s="26"/>
      <c r="AI1299" s="26"/>
      <c r="AJ1299" s="26"/>
      <c r="AK1299" s="26"/>
      <c r="AL1299" s="26"/>
      <c r="AM1299" s="26"/>
      <c r="AN1299" s="26"/>
      <c r="AO1299" s="26"/>
      <c r="AP1299" s="26"/>
      <c r="AQ1299" s="26"/>
      <c r="AR1299" s="26"/>
      <c r="AS1299" s="26"/>
      <c r="AT1299" s="26"/>
      <c r="AU1299" s="26"/>
      <c r="AV1299" s="26"/>
      <c r="AW1299" s="26"/>
      <c r="AX1299" s="26"/>
      <c r="AY1299" s="26"/>
    </row>
    <row r="1300" spans="1:51" ht="12.75" customHeight="1" x14ac:dyDescent="0.25">
      <c r="A1300" s="26"/>
      <c r="B1300" s="66"/>
      <c r="C1300" s="67"/>
      <c r="D1300" s="67"/>
      <c r="E1300" s="26"/>
      <c r="F1300" s="26"/>
      <c r="G1300" s="26"/>
      <c r="H1300" s="26"/>
      <c r="I1300" s="26"/>
      <c r="J1300" s="26"/>
      <c r="K1300" s="26"/>
      <c r="L1300" s="26"/>
      <c r="M1300" s="26"/>
      <c r="N1300" s="26"/>
      <c r="O1300" s="26"/>
      <c r="P1300" s="26"/>
      <c r="Q1300" s="26"/>
      <c r="R1300" s="26"/>
      <c r="S1300" s="26"/>
      <c r="T1300" s="26"/>
      <c r="U1300" s="26"/>
      <c r="V1300" s="26"/>
      <c r="W1300" s="26"/>
      <c r="X1300" s="26"/>
      <c r="Y1300" s="26"/>
      <c r="Z1300" s="26"/>
      <c r="AA1300" s="26"/>
      <c r="AB1300" s="26"/>
      <c r="AC1300" s="26"/>
      <c r="AD1300" s="26"/>
      <c r="AE1300" s="26"/>
      <c r="AF1300" s="26"/>
      <c r="AG1300" s="26"/>
      <c r="AH1300" s="26"/>
      <c r="AI1300" s="26"/>
      <c r="AJ1300" s="26"/>
      <c r="AK1300" s="26"/>
      <c r="AL1300" s="26"/>
      <c r="AM1300" s="26"/>
      <c r="AN1300" s="26"/>
      <c r="AO1300" s="26"/>
      <c r="AP1300" s="26"/>
      <c r="AQ1300" s="26"/>
      <c r="AR1300" s="26"/>
      <c r="AS1300" s="26"/>
      <c r="AT1300" s="26"/>
      <c r="AU1300" s="26"/>
      <c r="AV1300" s="26"/>
      <c r="AW1300" s="26"/>
      <c r="AX1300" s="26"/>
      <c r="AY1300" s="26"/>
    </row>
    <row r="1301" spans="1:51" ht="12.75" customHeight="1" x14ac:dyDescent="0.25">
      <c r="A1301" s="26"/>
      <c r="B1301" s="66"/>
      <c r="C1301" s="67"/>
      <c r="D1301" s="67"/>
      <c r="E1301" s="26"/>
      <c r="F1301" s="26"/>
      <c r="G1301" s="26"/>
      <c r="H1301" s="26"/>
      <c r="I1301" s="26"/>
      <c r="J1301" s="26"/>
      <c r="K1301" s="26"/>
      <c r="L1301" s="26"/>
      <c r="M1301" s="26"/>
      <c r="N1301" s="26"/>
      <c r="O1301" s="26"/>
      <c r="P1301" s="26"/>
      <c r="Q1301" s="26"/>
      <c r="R1301" s="26"/>
      <c r="S1301" s="26"/>
      <c r="T1301" s="26"/>
      <c r="U1301" s="26"/>
      <c r="V1301" s="26"/>
      <c r="W1301" s="26"/>
      <c r="X1301" s="26"/>
      <c r="Y1301" s="26"/>
      <c r="Z1301" s="26"/>
      <c r="AA1301" s="26"/>
      <c r="AB1301" s="26"/>
      <c r="AC1301" s="26"/>
      <c r="AD1301" s="26"/>
      <c r="AE1301" s="26"/>
      <c r="AF1301" s="26"/>
      <c r="AG1301" s="26"/>
      <c r="AH1301" s="26"/>
      <c r="AI1301" s="26"/>
      <c r="AJ1301" s="26"/>
      <c r="AK1301" s="26"/>
      <c r="AL1301" s="26"/>
      <c r="AM1301" s="26"/>
      <c r="AN1301" s="26"/>
      <c r="AO1301" s="26"/>
      <c r="AP1301" s="26"/>
      <c r="AQ1301" s="26"/>
      <c r="AR1301" s="26"/>
      <c r="AS1301" s="26"/>
      <c r="AT1301" s="26"/>
      <c r="AU1301" s="26"/>
      <c r="AV1301" s="26"/>
      <c r="AW1301" s="26"/>
      <c r="AX1301" s="26"/>
      <c r="AY1301" s="26"/>
    </row>
    <row r="1302" spans="1:51" ht="12.75" customHeight="1" x14ac:dyDescent="0.25">
      <c r="A1302" s="26"/>
      <c r="B1302" s="66"/>
      <c r="C1302" s="67"/>
      <c r="D1302" s="67"/>
      <c r="E1302" s="26"/>
      <c r="F1302" s="26"/>
      <c r="G1302" s="26"/>
      <c r="H1302" s="26"/>
      <c r="I1302" s="26"/>
      <c r="J1302" s="26"/>
      <c r="K1302" s="26"/>
      <c r="L1302" s="26"/>
      <c r="M1302" s="26"/>
      <c r="N1302" s="26"/>
      <c r="O1302" s="26"/>
      <c r="P1302" s="26"/>
      <c r="Q1302" s="26"/>
      <c r="R1302" s="26"/>
      <c r="S1302" s="26"/>
      <c r="T1302" s="26"/>
      <c r="U1302" s="26"/>
      <c r="V1302" s="26"/>
      <c r="W1302" s="26"/>
      <c r="X1302" s="26"/>
      <c r="Y1302" s="26"/>
      <c r="Z1302" s="26"/>
      <c r="AA1302" s="26"/>
      <c r="AB1302" s="26"/>
      <c r="AC1302" s="26"/>
      <c r="AD1302" s="26"/>
      <c r="AE1302" s="26"/>
      <c r="AF1302" s="26"/>
      <c r="AG1302" s="26"/>
      <c r="AH1302" s="26"/>
      <c r="AI1302" s="26"/>
      <c r="AJ1302" s="26"/>
      <c r="AK1302" s="26"/>
      <c r="AL1302" s="26"/>
      <c r="AM1302" s="26"/>
      <c r="AN1302" s="26"/>
      <c r="AO1302" s="26"/>
      <c r="AP1302" s="26"/>
      <c r="AQ1302" s="26"/>
      <c r="AR1302" s="26"/>
      <c r="AS1302" s="26"/>
      <c r="AT1302" s="26"/>
      <c r="AU1302" s="26"/>
      <c r="AV1302" s="26"/>
      <c r="AW1302" s="26"/>
      <c r="AX1302" s="26"/>
      <c r="AY1302" s="26"/>
    </row>
    <row r="1303" spans="1:51" ht="12.75" customHeight="1" x14ac:dyDescent="0.25">
      <c r="A1303" s="26"/>
      <c r="B1303" s="66"/>
      <c r="C1303" s="67"/>
      <c r="D1303" s="67"/>
      <c r="E1303" s="26"/>
      <c r="F1303" s="26"/>
      <c r="G1303" s="26"/>
      <c r="H1303" s="26"/>
      <c r="I1303" s="26"/>
      <c r="J1303" s="26"/>
      <c r="K1303" s="26"/>
      <c r="L1303" s="26"/>
      <c r="M1303" s="26"/>
      <c r="N1303" s="26"/>
      <c r="O1303" s="26"/>
      <c r="P1303" s="26"/>
      <c r="Q1303" s="26"/>
      <c r="R1303" s="26"/>
      <c r="S1303" s="26"/>
      <c r="T1303" s="26"/>
      <c r="U1303" s="26"/>
      <c r="V1303" s="26"/>
      <c r="W1303" s="26"/>
      <c r="X1303" s="26"/>
      <c r="Y1303" s="26"/>
      <c r="Z1303" s="26"/>
      <c r="AA1303" s="26"/>
      <c r="AB1303" s="26"/>
      <c r="AC1303" s="26"/>
      <c r="AD1303" s="26"/>
      <c r="AE1303" s="26"/>
      <c r="AF1303" s="26"/>
      <c r="AG1303" s="26"/>
      <c r="AH1303" s="26"/>
      <c r="AI1303" s="26"/>
      <c r="AJ1303" s="26"/>
      <c r="AK1303" s="26"/>
      <c r="AL1303" s="26"/>
      <c r="AM1303" s="26"/>
      <c r="AN1303" s="26"/>
      <c r="AO1303" s="26"/>
      <c r="AP1303" s="26"/>
      <c r="AQ1303" s="26"/>
      <c r="AR1303" s="26"/>
      <c r="AS1303" s="26"/>
      <c r="AT1303" s="26"/>
      <c r="AU1303" s="26"/>
      <c r="AV1303" s="26"/>
      <c r="AW1303" s="26"/>
      <c r="AX1303" s="26"/>
      <c r="AY1303" s="26"/>
    </row>
    <row r="1304" spans="1:51" ht="12.75" customHeight="1" x14ac:dyDescent="0.25">
      <c r="A1304" s="26"/>
      <c r="B1304" s="66"/>
      <c r="C1304" s="67"/>
      <c r="D1304" s="67"/>
      <c r="E1304" s="26"/>
      <c r="F1304" s="26"/>
      <c r="G1304" s="26"/>
      <c r="H1304" s="26"/>
      <c r="I1304" s="26"/>
      <c r="J1304" s="26"/>
      <c r="K1304" s="26"/>
      <c r="L1304" s="26"/>
      <c r="M1304" s="26"/>
      <c r="N1304" s="26"/>
      <c r="O1304" s="26"/>
      <c r="P1304" s="26"/>
      <c r="Q1304" s="26"/>
      <c r="R1304" s="26"/>
      <c r="S1304" s="26"/>
      <c r="T1304" s="26"/>
      <c r="U1304" s="26"/>
      <c r="V1304" s="26"/>
      <c r="W1304" s="26"/>
      <c r="X1304" s="26"/>
      <c r="Y1304" s="26"/>
      <c r="Z1304" s="26"/>
      <c r="AA1304" s="26"/>
      <c r="AB1304" s="26"/>
      <c r="AC1304" s="26"/>
      <c r="AD1304" s="26"/>
      <c r="AE1304" s="26"/>
      <c r="AF1304" s="26"/>
      <c r="AG1304" s="26"/>
      <c r="AH1304" s="26"/>
      <c r="AI1304" s="26"/>
      <c r="AJ1304" s="26"/>
      <c r="AK1304" s="26"/>
      <c r="AL1304" s="26"/>
      <c r="AM1304" s="26"/>
      <c r="AN1304" s="26"/>
      <c r="AO1304" s="26"/>
      <c r="AP1304" s="26"/>
      <c r="AQ1304" s="26"/>
      <c r="AR1304" s="26"/>
      <c r="AS1304" s="26"/>
      <c r="AT1304" s="26"/>
      <c r="AU1304" s="26"/>
      <c r="AV1304" s="26"/>
      <c r="AW1304" s="26"/>
      <c r="AX1304" s="26"/>
      <c r="AY1304" s="26"/>
    </row>
    <row r="1305" spans="1:51" ht="12.75" customHeight="1" x14ac:dyDescent="0.25">
      <c r="A1305" s="26"/>
      <c r="B1305" s="66"/>
      <c r="C1305" s="67"/>
      <c r="D1305" s="67"/>
      <c r="E1305" s="26"/>
      <c r="F1305" s="26"/>
      <c r="G1305" s="26"/>
      <c r="H1305" s="26"/>
      <c r="I1305" s="26"/>
      <c r="J1305" s="26"/>
      <c r="K1305" s="26"/>
      <c r="L1305" s="26"/>
      <c r="M1305" s="26"/>
      <c r="N1305" s="26"/>
      <c r="O1305" s="26"/>
      <c r="P1305" s="26"/>
      <c r="Q1305" s="26"/>
      <c r="R1305" s="26"/>
      <c r="S1305" s="26"/>
      <c r="T1305" s="26"/>
      <c r="U1305" s="26"/>
      <c r="V1305" s="26"/>
      <c r="W1305" s="26"/>
      <c r="X1305" s="26"/>
      <c r="Y1305" s="26"/>
      <c r="Z1305" s="26"/>
      <c r="AA1305" s="26"/>
      <c r="AB1305" s="26"/>
      <c r="AC1305" s="26"/>
      <c r="AD1305" s="26"/>
      <c r="AE1305" s="26"/>
      <c r="AF1305" s="26"/>
      <c r="AG1305" s="26"/>
      <c r="AH1305" s="26"/>
      <c r="AI1305" s="26"/>
      <c r="AJ1305" s="26"/>
      <c r="AK1305" s="26"/>
      <c r="AL1305" s="26"/>
      <c r="AM1305" s="26"/>
      <c r="AN1305" s="26"/>
      <c r="AO1305" s="26"/>
      <c r="AP1305" s="26"/>
      <c r="AQ1305" s="26"/>
      <c r="AR1305" s="26"/>
      <c r="AS1305" s="26"/>
      <c r="AT1305" s="26"/>
      <c r="AU1305" s="26"/>
      <c r="AV1305" s="26"/>
      <c r="AW1305" s="26"/>
      <c r="AX1305" s="26"/>
      <c r="AY1305" s="26"/>
    </row>
    <row r="1306" spans="1:51" ht="12.75" customHeight="1" x14ac:dyDescent="0.25">
      <c r="A1306" s="26"/>
      <c r="B1306" s="66"/>
      <c r="C1306" s="67"/>
      <c r="D1306" s="67"/>
      <c r="E1306" s="26"/>
      <c r="F1306" s="26"/>
      <c r="G1306" s="26"/>
      <c r="H1306" s="26"/>
      <c r="I1306" s="26"/>
      <c r="J1306" s="26"/>
      <c r="K1306" s="26"/>
      <c r="L1306" s="26"/>
      <c r="M1306" s="26"/>
      <c r="N1306" s="26"/>
      <c r="O1306" s="26"/>
      <c r="P1306" s="26"/>
      <c r="Q1306" s="26"/>
      <c r="R1306" s="26"/>
      <c r="S1306" s="26"/>
      <c r="T1306" s="26"/>
      <c r="U1306" s="26"/>
      <c r="V1306" s="26"/>
      <c r="W1306" s="26"/>
      <c r="X1306" s="26"/>
      <c r="Y1306" s="26"/>
      <c r="Z1306" s="26"/>
      <c r="AA1306" s="26"/>
      <c r="AB1306" s="26"/>
      <c r="AC1306" s="26"/>
      <c r="AD1306" s="26"/>
      <c r="AE1306" s="26"/>
      <c r="AF1306" s="26"/>
      <c r="AG1306" s="26"/>
      <c r="AH1306" s="26"/>
      <c r="AI1306" s="26"/>
      <c r="AJ1306" s="26"/>
      <c r="AK1306" s="26"/>
      <c r="AL1306" s="26"/>
      <c r="AM1306" s="26"/>
      <c r="AN1306" s="26"/>
      <c r="AO1306" s="26"/>
      <c r="AP1306" s="26"/>
      <c r="AQ1306" s="26"/>
      <c r="AR1306" s="26"/>
      <c r="AS1306" s="26"/>
      <c r="AT1306" s="26"/>
      <c r="AU1306" s="26"/>
      <c r="AV1306" s="26"/>
      <c r="AW1306" s="26"/>
      <c r="AX1306" s="26"/>
      <c r="AY1306" s="26"/>
    </row>
    <row r="1307" spans="1:51" ht="12.75" customHeight="1" x14ac:dyDescent="0.25">
      <c r="A1307" s="26"/>
      <c r="B1307" s="66"/>
      <c r="C1307" s="67"/>
      <c r="D1307" s="67"/>
      <c r="E1307" s="26"/>
      <c r="F1307" s="26"/>
      <c r="G1307" s="26"/>
      <c r="H1307" s="26"/>
      <c r="I1307" s="26"/>
      <c r="J1307" s="26"/>
      <c r="K1307" s="26"/>
      <c r="L1307" s="26"/>
      <c r="M1307" s="26"/>
      <c r="N1307" s="26"/>
      <c r="O1307" s="26"/>
      <c r="P1307" s="26"/>
      <c r="Q1307" s="26"/>
      <c r="R1307" s="26"/>
      <c r="S1307" s="26"/>
      <c r="T1307" s="26"/>
      <c r="U1307" s="26"/>
      <c r="V1307" s="26"/>
      <c r="W1307" s="26"/>
      <c r="X1307" s="26"/>
      <c r="Y1307" s="26"/>
      <c r="Z1307" s="26"/>
      <c r="AA1307" s="26"/>
      <c r="AB1307" s="26"/>
      <c r="AC1307" s="26"/>
      <c r="AD1307" s="26"/>
      <c r="AE1307" s="26"/>
      <c r="AF1307" s="26"/>
      <c r="AG1307" s="26"/>
      <c r="AH1307" s="26"/>
      <c r="AI1307" s="26"/>
      <c r="AJ1307" s="26"/>
      <c r="AK1307" s="26"/>
      <c r="AL1307" s="26"/>
      <c r="AM1307" s="26"/>
      <c r="AN1307" s="26"/>
      <c r="AO1307" s="26"/>
      <c r="AP1307" s="26"/>
      <c r="AQ1307" s="26"/>
      <c r="AR1307" s="26"/>
      <c r="AS1307" s="26"/>
      <c r="AT1307" s="26"/>
      <c r="AU1307" s="26"/>
      <c r="AV1307" s="26"/>
      <c r="AW1307" s="26"/>
      <c r="AX1307" s="26"/>
      <c r="AY1307" s="26"/>
    </row>
    <row r="1308" spans="1:51" ht="12.75" customHeight="1" x14ac:dyDescent="0.25">
      <c r="A1308" s="26"/>
      <c r="B1308" s="66"/>
      <c r="C1308" s="67"/>
      <c r="D1308" s="67"/>
      <c r="E1308" s="26"/>
      <c r="F1308" s="26"/>
      <c r="G1308" s="26"/>
      <c r="H1308" s="26"/>
      <c r="I1308" s="26"/>
      <c r="J1308" s="26"/>
      <c r="K1308" s="26"/>
      <c r="L1308" s="26"/>
      <c r="M1308" s="26"/>
      <c r="N1308" s="26"/>
      <c r="O1308" s="26"/>
      <c r="P1308" s="26"/>
      <c r="Q1308" s="26"/>
      <c r="R1308" s="26"/>
      <c r="S1308" s="26"/>
      <c r="T1308" s="26"/>
      <c r="U1308" s="26"/>
      <c r="V1308" s="26"/>
      <c r="W1308" s="26"/>
      <c r="X1308" s="26"/>
      <c r="Y1308" s="26"/>
      <c r="Z1308" s="26"/>
      <c r="AA1308" s="26"/>
      <c r="AB1308" s="26"/>
      <c r="AC1308" s="26"/>
      <c r="AD1308" s="26"/>
      <c r="AE1308" s="26"/>
      <c r="AF1308" s="26"/>
      <c r="AG1308" s="26"/>
      <c r="AH1308" s="26"/>
      <c r="AI1308" s="26"/>
      <c r="AJ1308" s="26"/>
      <c r="AK1308" s="26"/>
      <c r="AL1308" s="26"/>
      <c r="AM1308" s="26"/>
      <c r="AN1308" s="26"/>
      <c r="AO1308" s="26"/>
      <c r="AP1308" s="26"/>
      <c r="AQ1308" s="26"/>
      <c r="AR1308" s="26"/>
      <c r="AS1308" s="26"/>
      <c r="AT1308" s="26"/>
      <c r="AU1308" s="26"/>
      <c r="AV1308" s="26"/>
      <c r="AW1308" s="26"/>
      <c r="AX1308" s="26"/>
      <c r="AY1308" s="26"/>
    </row>
    <row r="1309" spans="1:51" ht="12.75" customHeight="1" x14ac:dyDescent="0.25">
      <c r="A1309" s="26"/>
      <c r="B1309" s="66"/>
      <c r="C1309" s="67"/>
      <c r="D1309" s="67"/>
      <c r="E1309" s="26"/>
      <c r="F1309" s="26"/>
      <c r="G1309" s="26"/>
      <c r="H1309" s="26"/>
      <c r="I1309" s="26"/>
      <c r="J1309" s="26"/>
      <c r="K1309" s="26"/>
      <c r="L1309" s="26"/>
      <c r="M1309" s="26"/>
      <c r="N1309" s="26"/>
      <c r="O1309" s="26"/>
      <c r="P1309" s="26"/>
      <c r="Q1309" s="26"/>
      <c r="R1309" s="26"/>
      <c r="S1309" s="26"/>
      <c r="T1309" s="26"/>
      <c r="U1309" s="26"/>
      <c r="V1309" s="26"/>
      <c r="W1309" s="26"/>
      <c r="X1309" s="26"/>
      <c r="Y1309" s="26"/>
      <c r="Z1309" s="26"/>
      <c r="AA1309" s="26"/>
      <c r="AB1309" s="26"/>
      <c r="AC1309" s="26"/>
      <c r="AD1309" s="26"/>
      <c r="AE1309" s="26"/>
      <c r="AF1309" s="26"/>
      <c r="AG1309" s="26"/>
      <c r="AH1309" s="26"/>
      <c r="AI1309" s="26"/>
      <c r="AJ1309" s="26"/>
      <c r="AK1309" s="26"/>
      <c r="AL1309" s="26"/>
      <c r="AM1309" s="26"/>
      <c r="AN1309" s="26"/>
      <c r="AO1309" s="26"/>
      <c r="AP1309" s="26"/>
      <c r="AQ1309" s="26"/>
      <c r="AR1309" s="26"/>
      <c r="AS1309" s="26"/>
      <c r="AT1309" s="26"/>
      <c r="AU1309" s="26"/>
      <c r="AV1309" s="26"/>
      <c r="AW1309" s="26"/>
      <c r="AX1309" s="26"/>
      <c r="AY1309" s="26"/>
    </row>
    <row r="1310" spans="1:51" ht="12.75" customHeight="1" x14ac:dyDescent="0.25">
      <c r="A1310" s="26"/>
      <c r="B1310" s="66"/>
      <c r="C1310" s="67"/>
      <c r="D1310" s="67"/>
      <c r="E1310" s="26"/>
      <c r="F1310" s="26"/>
      <c r="G1310" s="26"/>
      <c r="H1310" s="26"/>
      <c r="I1310" s="26"/>
      <c r="J1310" s="26"/>
      <c r="K1310" s="26"/>
      <c r="L1310" s="26"/>
      <c r="M1310" s="26"/>
      <c r="N1310" s="26"/>
      <c r="O1310" s="26"/>
      <c r="P1310" s="26"/>
      <c r="Q1310" s="26"/>
      <c r="R1310" s="26"/>
      <c r="S1310" s="26"/>
      <c r="T1310" s="26"/>
      <c r="U1310" s="26"/>
      <c r="V1310" s="26"/>
      <c r="W1310" s="26"/>
      <c r="X1310" s="26"/>
      <c r="Y1310" s="26"/>
      <c r="Z1310" s="26"/>
      <c r="AA1310" s="26"/>
      <c r="AB1310" s="26"/>
      <c r="AC1310" s="26"/>
      <c r="AD1310" s="26"/>
      <c r="AE1310" s="26"/>
      <c r="AF1310" s="26"/>
      <c r="AG1310" s="26"/>
      <c r="AH1310" s="26"/>
      <c r="AI1310" s="26"/>
      <c r="AJ1310" s="26"/>
      <c r="AK1310" s="26"/>
      <c r="AL1310" s="26"/>
      <c r="AM1310" s="26"/>
      <c r="AN1310" s="26"/>
      <c r="AO1310" s="26"/>
      <c r="AP1310" s="26"/>
      <c r="AQ1310" s="26"/>
      <c r="AR1310" s="26"/>
      <c r="AS1310" s="26"/>
      <c r="AT1310" s="26"/>
      <c r="AU1310" s="26"/>
      <c r="AV1310" s="26"/>
      <c r="AW1310" s="26"/>
      <c r="AX1310" s="26"/>
      <c r="AY1310" s="26"/>
    </row>
    <row r="1311" spans="1:51" ht="12.75" customHeight="1" x14ac:dyDescent="0.25">
      <c r="A1311" s="26"/>
      <c r="B1311" s="66"/>
      <c r="C1311" s="67"/>
      <c r="D1311" s="67"/>
      <c r="E1311" s="26"/>
      <c r="F1311" s="26"/>
      <c r="G1311" s="26"/>
      <c r="H1311" s="26"/>
      <c r="I1311" s="26"/>
      <c r="J1311" s="26"/>
      <c r="K1311" s="26"/>
      <c r="L1311" s="26"/>
      <c r="M1311" s="26"/>
      <c r="N1311" s="26"/>
      <c r="O1311" s="26"/>
      <c r="P1311" s="26"/>
      <c r="Q1311" s="26"/>
      <c r="R1311" s="26"/>
      <c r="S1311" s="26"/>
      <c r="T1311" s="26"/>
      <c r="U1311" s="26"/>
      <c r="V1311" s="26"/>
      <c r="W1311" s="26"/>
      <c r="X1311" s="26"/>
      <c r="Y1311" s="26"/>
      <c r="Z1311" s="26"/>
      <c r="AA1311" s="26"/>
      <c r="AB1311" s="26"/>
      <c r="AC1311" s="26"/>
      <c r="AD1311" s="26"/>
      <c r="AE1311" s="26"/>
      <c r="AF1311" s="26"/>
      <c r="AG1311" s="26"/>
      <c r="AH1311" s="26"/>
      <c r="AI1311" s="26"/>
      <c r="AJ1311" s="26"/>
      <c r="AK1311" s="26"/>
      <c r="AL1311" s="26"/>
      <c r="AM1311" s="26"/>
      <c r="AN1311" s="26"/>
      <c r="AO1311" s="26"/>
      <c r="AP1311" s="26"/>
      <c r="AQ1311" s="26"/>
      <c r="AR1311" s="26"/>
      <c r="AS1311" s="26"/>
      <c r="AT1311" s="26"/>
      <c r="AU1311" s="26"/>
      <c r="AV1311" s="26"/>
      <c r="AW1311" s="26"/>
      <c r="AX1311" s="26"/>
      <c r="AY1311" s="26"/>
    </row>
    <row r="1312" spans="1:51" ht="12.75" customHeight="1" x14ac:dyDescent="0.25">
      <c r="A1312" s="26"/>
      <c r="B1312" s="66"/>
      <c r="C1312" s="67"/>
      <c r="D1312" s="67"/>
      <c r="E1312" s="26"/>
      <c r="F1312" s="26"/>
      <c r="G1312" s="26"/>
      <c r="H1312" s="26"/>
      <c r="I1312" s="26"/>
      <c r="J1312" s="26"/>
      <c r="K1312" s="26"/>
      <c r="L1312" s="26"/>
      <c r="M1312" s="26"/>
      <c r="N1312" s="26"/>
      <c r="O1312" s="26"/>
      <c r="P1312" s="26"/>
      <c r="Q1312" s="26"/>
      <c r="R1312" s="26"/>
      <c r="S1312" s="26"/>
      <c r="T1312" s="26"/>
      <c r="U1312" s="26"/>
      <c r="V1312" s="26"/>
      <c r="W1312" s="26"/>
      <c r="X1312" s="26"/>
      <c r="Y1312" s="26"/>
      <c r="Z1312" s="26"/>
      <c r="AA1312" s="26"/>
      <c r="AB1312" s="26"/>
      <c r="AC1312" s="26"/>
      <c r="AD1312" s="26"/>
      <c r="AE1312" s="26"/>
      <c r="AF1312" s="26"/>
      <c r="AG1312" s="26"/>
      <c r="AH1312" s="26"/>
      <c r="AI1312" s="26"/>
      <c r="AJ1312" s="26"/>
      <c r="AK1312" s="26"/>
      <c r="AL1312" s="26"/>
      <c r="AM1312" s="26"/>
      <c r="AN1312" s="26"/>
      <c r="AO1312" s="26"/>
      <c r="AP1312" s="26"/>
      <c r="AQ1312" s="26"/>
      <c r="AR1312" s="26"/>
      <c r="AS1312" s="26"/>
      <c r="AT1312" s="26"/>
      <c r="AU1312" s="26"/>
      <c r="AV1312" s="26"/>
      <c r="AW1312" s="26"/>
      <c r="AX1312" s="26"/>
      <c r="AY1312" s="26"/>
    </row>
    <row r="1313" spans="1:51" ht="12.75" customHeight="1" x14ac:dyDescent="0.25">
      <c r="A1313" s="26"/>
      <c r="B1313" s="66"/>
      <c r="C1313" s="67"/>
      <c r="D1313" s="67"/>
      <c r="E1313" s="26"/>
      <c r="F1313" s="26"/>
      <c r="G1313" s="26"/>
      <c r="H1313" s="26"/>
      <c r="I1313" s="26"/>
      <c r="J1313" s="26"/>
      <c r="K1313" s="26"/>
      <c r="L1313" s="26"/>
      <c r="M1313" s="26"/>
      <c r="N1313" s="26"/>
      <c r="O1313" s="26"/>
      <c r="P1313" s="26"/>
      <c r="Q1313" s="26"/>
      <c r="R1313" s="26"/>
      <c r="S1313" s="26"/>
      <c r="T1313" s="26"/>
      <c r="U1313" s="26"/>
      <c r="V1313" s="26"/>
      <c r="W1313" s="26"/>
      <c r="X1313" s="26"/>
      <c r="Y1313" s="26"/>
      <c r="Z1313" s="26"/>
      <c r="AA1313" s="26"/>
      <c r="AB1313" s="26"/>
      <c r="AC1313" s="26"/>
      <c r="AD1313" s="26"/>
      <c r="AE1313" s="26"/>
      <c r="AF1313" s="26"/>
      <c r="AG1313" s="26"/>
      <c r="AH1313" s="26"/>
      <c r="AI1313" s="26"/>
      <c r="AJ1313" s="26"/>
      <c r="AK1313" s="26"/>
      <c r="AL1313" s="26"/>
      <c r="AM1313" s="26"/>
      <c r="AN1313" s="26"/>
      <c r="AO1313" s="26"/>
      <c r="AP1313" s="26"/>
      <c r="AQ1313" s="26"/>
      <c r="AR1313" s="26"/>
      <c r="AS1313" s="26"/>
      <c r="AT1313" s="26"/>
      <c r="AU1313" s="26"/>
      <c r="AV1313" s="26"/>
      <c r="AW1313" s="26"/>
      <c r="AX1313" s="26"/>
      <c r="AY1313" s="26"/>
    </row>
    <row r="1314" spans="1:51" ht="12.75" customHeight="1" x14ac:dyDescent="0.25">
      <c r="A1314" s="26"/>
      <c r="B1314" s="66"/>
      <c r="C1314" s="67"/>
      <c r="D1314" s="67"/>
      <c r="E1314" s="26"/>
      <c r="F1314" s="26"/>
      <c r="G1314" s="26"/>
      <c r="H1314" s="26"/>
      <c r="I1314" s="26"/>
      <c r="J1314" s="26"/>
      <c r="K1314" s="26"/>
      <c r="L1314" s="26"/>
      <c r="M1314" s="26"/>
      <c r="N1314" s="26"/>
      <c r="O1314" s="26"/>
      <c r="P1314" s="26"/>
      <c r="Q1314" s="26"/>
      <c r="R1314" s="26"/>
      <c r="S1314" s="26"/>
      <c r="T1314" s="26"/>
      <c r="U1314" s="26"/>
      <c r="V1314" s="26"/>
      <c r="W1314" s="26"/>
      <c r="X1314" s="26"/>
      <c r="Y1314" s="26"/>
      <c r="Z1314" s="26"/>
      <c r="AA1314" s="26"/>
      <c r="AB1314" s="26"/>
      <c r="AC1314" s="26"/>
      <c r="AD1314" s="26"/>
      <c r="AE1314" s="26"/>
      <c r="AF1314" s="26"/>
      <c r="AG1314" s="26"/>
      <c r="AH1314" s="26"/>
      <c r="AI1314" s="26"/>
      <c r="AJ1314" s="26"/>
      <c r="AK1314" s="26"/>
      <c r="AL1314" s="26"/>
      <c r="AM1314" s="26"/>
      <c r="AN1314" s="26"/>
      <c r="AO1314" s="26"/>
      <c r="AP1314" s="26"/>
      <c r="AQ1314" s="26"/>
      <c r="AR1314" s="26"/>
      <c r="AS1314" s="26"/>
      <c r="AT1314" s="26"/>
      <c r="AU1314" s="26"/>
      <c r="AV1314" s="26"/>
      <c r="AW1314" s="26"/>
      <c r="AX1314" s="26"/>
      <c r="AY1314" s="26"/>
    </row>
    <row r="1315" spans="1:51" ht="12.75" customHeight="1" x14ac:dyDescent="0.25">
      <c r="A1315" s="26"/>
      <c r="B1315" s="66"/>
      <c r="C1315" s="67"/>
      <c r="D1315" s="67"/>
      <c r="E1315" s="26"/>
      <c r="F1315" s="26"/>
      <c r="G1315" s="26"/>
      <c r="H1315" s="26"/>
      <c r="I1315" s="26"/>
      <c r="J1315" s="26"/>
      <c r="K1315" s="26"/>
      <c r="L1315" s="26"/>
      <c r="M1315" s="26"/>
      <c r="N1315" s="26"/>
      <c r="O1315" s="26"/>
      <c r="P1315" s="26"/>
      <c r="Q1315" s="26"/>
      <c r="R1315" s="26"/>
      <c r="S1315" s="26"/>
      <c r="T1315" s="26"/>
      <c r="U1315" s="26"/>
      <c r="V1315" s="26"/>
      <c r="W1315" s="26"/>
      <c r="X1315" s="26"/>
      <c r="Y1315" s="26"/>
      <c r="Z1315" s="26"/>
      <c r="AA1315" s="26"/>
      <c r="AB1315" s="26"/>
      <c r="AC1315" s="26"/>
      <c r="AD1315" s="26"/>
      <c r="AE1315" s="26"/>
      <c r="AF1315" s="26"/>
      <c r="AG1315" s="26"/>
      <c r="AH1315" s="26"/>
      <c r="AI1315" s="26"/>
      <c r="AJ1315" s="26"/>
      <c r="AK1315" s="26"/>
      <c r="AL1315" s="26"/>
      <c r="AM1315" s="26"/>
      <c r="AN1315" s="26"/>
      <c r="AO1315" s="26"/>
      <c r="AP1315" s="26"/>
      <c r="AQ1315" s="26"/>
      <c r="AR1315" s="26"/>
      <c r="AS1315" s="26"/>
      <c r="AT1315" s="26"/>
      <c r="AU1315" s="26"/>
      <c r="AV1315" s="26"/>
      <c r="AW1315" s="26"/>
      <c r="AX1315" s="26"/>
      <c r="AY1315" s="26"/>
    </row>
    <row r="1316" spans="1:51" ht="12.75" customHeight="1" x14ac:dyDescent="0.25">
      <c r="A1316" s="26"/>
      <c r="B1316" s="66"/>
      <c r="C1316" s="67"/>
      <c r="D1316" s="67"/>
      <c r="E1316" s="26"/>
      <c r="F1316" s="26"/>
      <c r="G1316" s="26"/>
      <c r="H1316" s="26"/>
      <c r="I1316" s="26"/>
      <c r="J1316" s="26"/>
      <c r="K1316" s="26"/>
      <c r="L1316" s="26"/>
      <c r="M1316" s="26"/>
      <c r="N1316" s="26"/>
      <c r="O1316" s="26"/>
      <c r="P1316" s="26"/>
      <c r="Q1316" s="26"/>
      <c r="R1316" s="26"/>
      <c r="S1316" s="26"/>
      <c r="T1316" s="26"/>
      <c r="U1316" s="26"/>
      <c r="V1316" s="26"/>
      <c r="W1316" s="26"/>
      <c r="X1316" s="26"/>
      <c r="Y1316" s="26"/>
      <c r="Z1316" s="26"/>
      <c r="AA1316" s="26"/>
      <c r="AB1316" s="26"/>
      <c r="AC1316" s="26"/>
      <c r="AD1316" s="26"/>
      <c r="AE1316" s="26"/>
      <c r="AF1316" s="26"/>
      <c r="AG1316" s="26"/>
      <c r="AH1316" s="26"/>
      <c r="AI1316" s="26"/>
      <c r="AJ1316" s="26"/>
      <c r="AK1316" s="26"/>
      <c r="AL1316" s="26"/>
      <c r="AM1316" s="26"/>
      <c r="AN1316" s="26"/>
      <c r="AO1316" s="26"/>
      <c r="AP1316" s="26"/>
      <c r="AQ1316" s="26"/>
      <c r="AR1316" s="26"/>
      <c r="AS1316" s="26"/>
      <c r="AT1316" s="26"/>
      <c r="AU1316" s="26"/>
      <c r="AV1316" s="26"/>
      <c r="AW1316" s="26"/>
      <c r="AX1316" s="26"/>
      <c r="AY1316" s="26"/>
    </row>
    <row r="1317" spans="1:51" ht="12.75" customHeight="1" x14ac:dyDescent="0.25">
      <c r="A1317" s="26"/>
      <c r="B1317" s="66"/>
      <c r="C1317" s="67"/>
      <c r="D1317" s="67"/>
      <c r="E1317" s="26"/>
      <c r="F1317" s="26"/>
      <c r="G1317" s="26"/>
      <c r="H1317" s="26"/>
      <c r="I1317" s="26"/>
      <c r="J1317" s="26"/>
      <c r="K1317" s="26"/>
      <c r="L1317" s="26"/>
      <c r="M1317" s="26"/>
      <c r="N1317" s="26"/>
      <c r="O1317" s="26"/>
      <c r="P1317" s="26"/>
      <c r="Q1317" s="26"/>
      <c r="R1317" s="26"/>
      <c r="S1317" s="26"/>
      <c r="T1317" s="26"/>
      <c r="U1317" s="26"/>
      <c r="V1317" s="26"/>
      <c r="W1317" s="26"/>
      <c r="X1317" s="26"/>
      <c r="Y1317" s="26"/>
      <c r="Z1317" s="26"/>
      <c r="AA1317" s="26"/>
      <c r="AB1317" s="26"/>
      <c r="AC1317" s="26"/>
      <c r="AD1317" s="26"/>
      <c r="AE1317" s="26"/>
      <c r="AF1317" s="26"/>
      <c r="AG1317" s="26"/>
      <c r="AH1317" s="26"/>
      <c r="AI1317" s="26"/>
      <c r="AJ1317" s="26"/>
      <c r="AK1317" s="26"/>
      <c r="AL1317" s="26"/>
      <c r="AM1317" s="26"/>
      <c r="AN1317" s="26"/>
      <c r="AO1317" s="26"/>
      <c r="AP1317" s="26"/>
      <c r="AQ1317" s="26"/>
      <c r="AR1317" s="26"/>
      <c r="AS1317" s="26"/>
      <c r="AT1317" s="26"/>
      <c r="AU1317" s="26"/>
      <c r="AV1317" s="26"/>
      <c r="AW1317" s="26"/>
      <c r="AX1317" s="26"/>
      <c r="AY1317" s="26"/>
    </row>
    <row r="1318" spans="1:51" ht="12.75" customHeight="1" x14ac:dyDescent="0.25">
      <c r="A1318" s="26"/>
      <c r="B1318" s="66"/>
      <c r="C1318" s="67"/>
      <c r="D1318" s="67"/>
      <c r="E1318" s="26"/>
      <c r="F1318" s="26"/>
      <c r="G1318" s="26"/>
      <c r="H1318" s="26"/>
      <c r="I1318" s="26"/>
      <c r="J1318" s="26"/>
      <c r="K1318" s="26"/>
      <c r="L1318" s="26"/>
      <c r="M1318" s="26"/>
      <c r="N1318" s="26"/>
      <c r="O1318" s="26"/>
      <c r="P1318" s="26"/>
      <c r="Q1318" s="26"/>
      <c r="R1318" s="26"/>
      <c r="S1318" s="26"/>
      <c r="T1318" s="26"/>
      <c r="U1318" s="26"/>
      <c r="V1318" s="26"/>
      <c r="W1318" s="26"/>
      <c r="X1318" s="26"/>
      <c r="Y1318" s="26"/>
      <c r="Z1318" s="26"/>
      <c r="AA1318" s="26"/>
      <c r="AB1318" s="26"/>
      <c r="AC1318" s="26"/>
      <c r="AD1318" s="26"/>
      <c r="AE1318" s="26"/>
      <c r="AF1318" s="26"/>
      <c r="AG1318" s="26"/>
      <c r="AH1318" s="26"/>
      <c r="AI1318" s="26"/>
      <c r="AJ1318" s="26"/>
      <c r="AK1318" s="26"/>
      <c r="AL1318" s="26"/>
      <c r="AM1318" s="26"/>
      <c r="AN1318" s="26"/>
      <c r="AO1318" s="26"/>
      <c r="AP1318" s="26"/>
      <c r="AQ1318" s="26"/>
      <c r="AR1318" s="26"/>
      <c r="AS1318" s="26"/>
      <c r="AT1318" s="26"/>
      <c r="AU1318" s="26"/>
      <c r="AV1318" s="26"/>
      <c r="AW1318" s="26"/>
      <c r="AX1318" s="26"/>
      <c r="AY1318" s="26"/>
    </row>
    <row r="1319" spans="1:51" ht="12.75" customHeight="1" x14ac:dyDescent="0.25">
      <c r="A1319" s="26"/>
      <c r="B1319" s="66"/>
      <c r="C1319" s="67"/>
      <c r="D1319" s="67"/>
      <c r="E1319" s="26"/>
      <c r="F1319" s="26"/>
      <c r="G1319" s="26"/>
      <c r="H1319" s="26"/>
      <c r="I1319" s="26"/>
      <c r="J1319" s="26"/>
      <c r="K1319" s="26"/>
      <c r="L1319" s="26"/>
      <c r="M1319" s="26"/>
      <c r="N1319" s="26"/>
      <c r="O1319" s="26"/>
      <c r="P1319" s="26"/>
      <c r="Q1319" s="26"/>
      <c r="R1319" s="26"/>
      <c r="S1319" s="26"/>
      <c r="T1319" s="26"/>
      <c r="U1319" s="26"/>
      <c r="V1319" s="26"/>
      <c r="W1319" s="26"/>
      <c r="X1319" s="26"/>
      <c r="Y1319" s="26"/>
      <c r="Z1319" s="26"/>
      <c r="AA1319" s="26"/>
      <c r="AB1319" s="26"/>
      <c r="AC1319" s="26"/>
      <c r="AD1319" s="26"/>
      <c r="AE1319" s="26"/>
      <c r="AF1319" s="26"/>
      <c r="AG1319" s="26"/>
      <c r="AH1319" s="26"/>
      <c r="AI1319" s="26"/>
      <c r="AJ1319" s="26"/>
      <c r="AK1319" s="26"/>
      <c r="AL1319" s="26"/>
      <c r="AM1319" s="26"/>
      <c r="AN1319" s="26"/>
      <c r="AO1319" s="26"/>
      <c r="AP1319" s="26"/>
      <c r="AQ1319" s="26"/>
      <c r="AR1319" s="26"/>
      <c r="AS1319" s="26"/>
      <c r="AT1319" s="26"/>
      <c r="AU1319" s="26"/>
      <c r="AV1319" s="26"/>
      <c r="AW1319" s="26"/>
      <c r="AX1319" s="26"/>
      <c r="AY1319" s="26"/>
    </row>
    <row r="1320" spans="1:51" ht="12.75" customHeight="1" x14ac:dyDescent="0.25">
      <c r="A1320" s="26"/>
      <c r="B1320" s="66"/>
      <c r="C1320" s="67"/>
      <c r="D1320" s="67"/>
      <c r="E1320" s="26"/>
      <c r="F1320" s="26"/>
      <c r="G1320" s="26"/>
      <c r="H1320" s="26"/>
      <c r="I1320" s="26"/>
      <c r="J1320" s="26"/>
      <c r="K1320" s="26"/>
      <c r="L1320" s="26"/>
      <c r="M1320" s="26"/>
      <c r="N1320" s="26"/>
      <c r="O1320" s="26"/>
      <c r="P1320" s="26"/>
      <c r="Q1320" s="26"/>
      <c r="R1320" s="26"/>
      <c r="S1320" s="26"/>
      <c r="T1320" s="26"/>
      <c r="U1320" s="26"/>
      <c r="V1320" s="26"/>
      <c r="W1320" s="26"/>
      <c r="X1320" s="26"/>
      <c r="Y1320" s="26"/>
      <c r="Z1320" s="26"/>
      <c r="AA1320" s="26"/>
      <c r="AB1320" s="26"/>
      <c r="AC1320" s="26"/>
      <c r="AD1320" s="26"/>
      <c r="AE1320" s="26"/>
      <c r="AF1320" s="26"/>
      <c r="AG1320" s="26"/>
      <c r="AH1320" s="26"/>
      <c r="AI1320" s="26"/>
      <c r="AJ1320" s="26"/>
      <c r="AK1320" s="26"/>
      <c r="AL1320" s="26"/>
      <c r="AM1320" s="26"/>
      <c r="AN1320" s="26"/>
      <c r="AO1320" s="26"/>
      <c r="AP1320" s="26"/>
      <c r="AQ1320" s="26"/>
      <c r="AR1320" s="26"/>
      <c r="AS1320" s="26"/>
      <c r="AT1320" s="26"/>
      <c r="AU1320" s="26"/>
      <c r="AV1320" s="26"/>
      <c r="AW1320" s="26"/>
      <c r="AX1320" s="26"/>
      <c r="AY1320" s="26"/>
    </row>
    <row r="1321" spans="1:51" ht="12.75" customHeight="1" x14ac:dyDescent="0.25">
      <c r="A1321" s="26"/>
      <c r="B1321" s="66"/>
      <c r="C1321" s="67"/>
      <c r="D1321" s="67"/>
      <c r="E1321" s="26"/>
      <c r="F1321" s="26"/>
      <c r="G1321" s="26"/>
      <c r="H1321" s="26"/>
      <c r="I1321" s="26"/>
      <c r="J1321" s="26"/>
      <c r="K1321" s="26"/>
      <c r="L1321" s="26"/>
      <c r="M1321" s="26"/>
      <c r="N1321" s="26"/>
      <c r="O1321" s="26"/>
      <c r="P1321" s="26"/>
      <c r="Q1321" s="26"/>
      <c r="R1321" s="26"/>
      <c r="S1321" s="26"/>
      <c r="T1321" s="26"/>
      <c r="U1321" s="26"/>
      <c r="V1321" s="26"/>
      <c r="W1321" s="26"/>
      <c r="X1321" s="26"/>
      <c r="Y1321" s="26"/>
      <c r="Z1321" s="26"/>
      <c r="AA1321" s="26"/>
      <c r="AB1321" s="26"/>
      <c r="AC1321" s="26"/>
      <c r="AD1321" s="26"/>
      <c r="AE1321" s="26"/>
      <c r="AF1321" s="26"/>
      <c r="AG1321" s="26"/>
      <c r="AH1321" s="26"/>
      <c r="AI1321" s="26"/>
      <c r="AJ1321" s="26"/>
      <c r="AK1321" s="26"/>
      <c r="AL1321" s="26"/>
      <c r="AM1321" s="26"/>
      <c r="AN1321" s="26"/>
      <c r="AO1321" s="26"/>
      <c r="AP1321" s="26"/>
      <c r="AQ1321" s="26"/>
      <c r="AR1321" s="26"/>
      <c r="AS1321" s="26"/>
      <c r="AT1321" s="26"/>
      <c r="AU1321" s="26"/>
      <c r="AV1321" s="26"/>
      <c r="AW1321" s="26"/>
      <c r="AX1321" s="26"/>
      <c r="AY1321" s="26"/>
    </row>
    <row r="1322" spans="1:51" ht="12.75" customHeight="1" x14ac:dyDescent="0.25">
      <c r="A1322" s="26"/>
      <c r="B1322" s="66"/>
      <c r="C1322" s="67"/>
      <c r="D1322" s="67"/>
      <c r="E1322" s="26"/>
      <c r="F1322" s="26"/>
      <c r="G1322" s="26"/>
      <c r="H1322" s="26"/>
      <c r="I1322" s="26"/>
      <c r="J1322" s="26"/>
      <c r="K1322" s="26"/>
      <c r="L1322" s="26"/>
      <c r="M1322" s="26"/>
      <c r="N1322" s="26"/>
      <c r="O1322" s="26"/>
      <c r="P1322" s="26"/>
      <c r="Q1322" s="26"/>
      <c r="R1322" s="26"/>
      <c r="S1322" s="26"/>
      <c r="T1322" s="26"/>
      <c r="U1322" s="26"/>
      <c r="V1322" s="26"/>
      <c r="W1322" s="26"/>
      <c r="X1322" s="26"/>
      <c r="Y1322" s="26"/>
      <c r="Z1322" s="26"/>
      <c r="AA1322" s="26"/>
      <c r="AB1322" s="26"/>
      <c r="AC1322" s="26"/>
      <c r="AD1322" s="26"/>
      <c r="AE1322" s="26"/>
      <c r="AF1322" s="26"/>
      <c r="AG1322" s="26"/>
      <c r="AH1322" s="26"/>
      <c r="AI1322" s="26"/>
      <c r="AJ1322" s="26"/>
      <c r="AK1322" s="26"/>
      <c r="AL1322" s="26"/>
      <c r="AM1322" s="26"/>
      <c r="AN1322" s="26"/>
      <c r="AO1322" s="26"/>
      <c r="AP1322" s="26"/>
      <c r="AQ1322" s="26"/>
      <c r="AR1322" s="26"/>
      <c r="AS1322" s="26"/>
      <c r="AT1322" s="26"/>
      <c r="AU1322" s="26"/>
      <c r="AV1322" s="26"/>
      <c r="AW1322" s="26"/>
      <c r="AX1322" s="26"/>
      <c r="AY1322" s="26"/>
    </row>
    <row r="1323" spans="1:51" ht="12.75" customHeight="1" x14ac:dyDescent="0.25">
      <c r="A1323" s="26"/>
      <c r="B1323" s="66"/>
      <c r="C1323" s="67"/>
      <c r="D1323" s="67"/>
      <c r="E1323" s="26"/>
      <c r="F1323" s="26"/>
      <c r="G1323" s="26"/>
      <c r="H1323" s="26"/>
      <c r="I1323" s="26"/>
      <c r="J1323" s="26"/>
      <c r="K1323" s="26"/>
      <c r="L1323" s="26"/>
      <c r="M1323" s="26"/>
      <c r="N1323" s="26"/>
      <c r="O1323" s="26"/>
      <c r="P1323" s="26"/>
      <c r="Q1323" s="26"/>
      <c r="R1323" s="26"/>
      <c r="S1323" s="26"/>
      <c r="T1323" s="26"/>
      <c r="U1323" s="26"/>
      <c r="V1323" s="26"/>
      <c r="W1323" s="26"/>
      <c r="X1323" s="26"/>
      <c r="Y1323" s="26"/>
      <c r="Z1323" s="26"/>
      <c r="AA1323" s="26"/>
      <c r="AB1323" s="26"/>
      <c r="AC1323" s="26"/>
      <c r="AD1323" s="26"/>
      <c r="AE1323" s="26"/>
      <c r="AF1323" s="26"/>
      <c r="AG1323" s="26"/>
      <c r="AH1323" s="26"/>
      <c r="AI1323" s="26"/>
      <c r="AJ1323" s="26"/>
      <c r="AK1323" s="26"/>
      <c r="AL1323" s="26"/>
      <c r="AM1323" s="26"/>
      <c r="AN1323" s="26"/>
      <c r="AO1323" s="26"/>
      <c r="AP1323" s="26"/>
      <c r="AQ1323" s="26"/>
      <c r="AR1323" s="26"/>
      <c r="AS1323" s="26"/>
      <c r="AT1323" s="26"/>
      <c r="AU1323" s="26"/>
      <c r="AV1323" s="26"/>
      <c r="AW1323" s="26"/>
      <c r="AX1323" s="26"/>
      <c r="AY1323" s="26"/>
    </row>
    <row r="1324" spans="1:51" ht="12.75" customHeight="1" x14ac:dyDescent="0.25">
      <c r="A1324" s="26"/>
      <c r="B1324" s="66"/>
      <c r="C1324" s="67"/>
      <c r="D1324" s="67"/>
      <c r="E1324" s="26"/>
      <c r="F1324" s="26"/>
      <c r="G1324" s="26"/>
      <c r="H1324" s="26"/>
      <c r="I1324" s="26"/>
      <c r="J1324" s="26"/>
      <c r="K1324" s="26"/>
      <c r="L1324" s="26"/>
      <c r="M1324" s="26"/>
      <c r="N1324" s="26"/>
      <c r="O1324" s="26"/>
      <c r="P1324" s="26"/>
      <c r="Q1324" s="26"/>
      <c r="R1324" s="26"/>
      <c r="S1324" s="26"/>
      <c r="T1324" s="26"/>
      <c r="U1324" s="26"/>
      <c r="V1324" s="26"/>
      <c r="W1324" s="26"/>
      <c r="X1324" s="26"/>
      <c r="Y1324" s="26"/>
      <c r="Z1324" s="26"/>
      <c r="AA1324" s="26"/>
      <c r="AB1324" s="26"/>
      <c r="AC1324" s="26"/>
      <c r="AD1324" s="26"/>
      <c r="AE1324" s="26"/>
      <c r="AF1324" s="26"/>
      <c r="AG1324" s="26"/>
      <c r="AH1324" s="26"/>
      <c r="AI1324" s="26"/>
      <c r="AJ1324" s="26"/>
      <c r="AK1324" s="26"/>
      <c r="AL1324" s="26"/>
      <c r="AM1324" s="26"/>
      <c r="AN1324" s="26"/>
      <c r="AO1324" s="26"/>
      <c r="AP1324" s="26"/>
      <c r="AQ1324" s="26"/>
      <c r="AR1324" s="26"/>
      <c r="AS1324" s="26"/>
      <c r="AT1324" s="26"/>
      <c r="AU1324" s="26"/>
      <c r="AV1324" s="26"/>
      <c r="AW1324" s="26"/>
      <c r="AX1324" s="26"/>
      <c r="AY1324" s="26"/>
    </row>
    <row r="1325" spans="1:51" ht="12.75" customHeight="1" x14ac:dyDescent="0.25">
      <c r="A1325" s="26"/>
      <c r="B1325" s="66"/>
      <c r="C1325" s="67"/>
      <c r="D1325" s="67"/>
      <c r="E1325" s="26"/>
      <c r="F1325" s="26"/>
      <c r="G1325" s="26"/>
      <c r="H1325" s="26"/>
      <c r="I1325" s="26"/>
      <c r="J1325" s="26"/>
      <c r="K1325" s="26"/>
      <c r="L1325" s="26"/>
      <c r="M1325" s="26"/>
      <c r="N1325" s="26"/>
      <c r="O1325" s="26"/>
      <c r="P1325" s="26"/>
      <c r="Q1325" s="26"/>
      <c r="R1325" s="26"/>
      <c r="S1325" s="26"/>
      <c r="T1325" s="26"/>
      <c r="U1325" s="26"/>
      <c r="V1325" s="26"/>
      <c r="W1325" s="26"/>
      <c r="X1325" s="26"/>
      <c r="Y1325" s="26"/>
      <c r="Z1325" s="26"/>
      <c r="AA1325" s="26"/>
      <c r="AB1325" s="26"/>
      <c r="AC1325" s="26"/>
      <c r="AD1325" s="26"/>
      <c r="AE1325" s="26"/>
      <c r="AF1325" s="26"/>
      <c r="AG1325" s="26"/>
      <c r="AH1325" s="26"/>
      <c r="AI1325" s="26"/>
      <c r="AJ1325" s="26"/>
      <c r="AK1325" s="26"/>
      <c r="AL1325" s="26"/>
      <c r="AM1325" s="26"/>
      <c r="AN1325" s="26"/>
      <c r="AO1325" s="26"/>
      <c r="AP1325" s="26"/>
      <c r="AQ1325" s="26"/>
      <c r="AR1325" s="26"/>
      <c r="AS1325" s="26"/>
      <c r="AT1325" s="26"/>
      <c r="AU1325" s="26"/>
      <c r="AV1325" s="26"/>
      <c r="AW1325" s="26"/>
      <c r="AX1325" s="26"/>
      <c r="AY1325" s="26"/>
    </row>
    <row r="1326" spans="1:51" ht="12.75" customHeight="1" x14ac:dyDescent="0.25">
      <c r="A1326" s="26"/>
      <c r="B1326" s="66"/>
      <c r="C1326" s="67"/>
      <c r="D1326" s="67"/>
      <c r="E1326" s="26"/>
      <c r="F1326" s="26"/>
      <c r="G1326" s="26"/>
      <c r="H1326" s="26"/>
      <c r="I1326" s="26"/>
      <c r="J1326" s="26"/>
      <c r="K1326" s="26"/>
      <c r="L1326" s="26"/>
      <c r="M1326" s="26"/>
      <c r="N1326" s="26"/>
      <c r="O1326" s="26"/>
      <c r="P1326" s="26"/>
      <c r="Q1326" s="26"/>
      <c r="R1326" s="26"/>
      <c r="S1326" s="26"/>
      <c r="T1326" s="26"/>
      <c r="U1326" s="26"/>
      <c r="V1326" s="26"/>
      <c r="W1326" s="26"/>
      <c r="X1326" s="26"/>
      <c r="Y1326" s="26"/>
      <c r="Z1326" s="26"/>
      <c r="AA1326" s="26"/>
      <c r="AB1326" s="26"/>
      <c r="AC1326" s="26"/>
      <c r="AD1326" s="26"/>
      <c r="AE1326" s="26"/>
      <c r="AF1326" s="26"/>
      <c r="AG1326" s="26"/>
      <c r="AH1326" s="26"/>
      <c r="AI1326" s="26"/>
      <c r="AJ1326" s="26"/>
      <c r="AK1326" s="26"/>
      <c r="AL1326" s="26"/>
      <c r="AM1326" s="26"/>
      <c r="AN1326" s="26"/>
      <c r="AO1326" s="26"/>
      <c r="AP1326" s="26"/>
      <c r="AQ1326" s="26"/>
      <c r="AR1326" s="26"/>
      <c r="AS1326" s="26"/>
      <c r="AT1326" s="26"/>
      <c r="AU1326" s="26"/>
      <c r="AV1326" s="26"/>
      <c r="AW1326" s="26"/>
      <c r="AX1326" s="26"/>
      <c r="AY1326" s="26"/>
    </row>
    <row r="1327" spans="1:51" ht="12.75" customHeight="1" x14ac:dyDescent="0.25">
      <c r="A1327" s="26"/>
      <c r="B1327" s="66"/>
      <c r="C1327" s="67"/>
      <c r="D1327" s="67"/>
      <c r="E1327" s="26"/>
      <c r="F1327" s="26"/>
      <c r="G1327" s="26"/>
      <c r="H1327" s="26"/>
      <c r="I1327" s="26"/>
      <c r="J1327" s="26"/>
      <c r="K1327" s="26"/>
      <c r="L1327" s="26"/>
      <c r="M1327" s="26"/>
      <c r="N1327" s="26"/>
      <c r="O1327" s="26"/>
      <c r="P1327" s="26"/>
      <c r="Q1327" s="26"/>
      <c r="R1327" s="26"/>
      <c r="S1327" s="26"/>
      <c r="T1327" s="26"/>
      <c r="U1327" s="26"/>
      <c r="V1327" s="26"/>
      <c r="W1327" s="26"/>
      <c r="X1327" s="26"/>
      <c r="Y1327" s="26"/>
      <c r="Z1327" s="26"/>
      <c r="AA1327" s="26"/>
      <c r="AB1327" s="26"/>
      <c r="AC1327" s="26"/>
      <c r="AD1327" s="26"/>
      <c r="AE1327" s="26"/>
      <c r="AF1327" s="26"/>
      <c r="AG1327" s="26"/>
      <c r="AH1327" s="26"/>
      <c r="AI1327" s="26"/>
      <c r="AJ1327" s="26"/>
      <c r="AK1327" s="26"/>
      <c r="AL1327" s="26"/>
      <c r="AM1327" s="26"/>
      <c r="AN1327" s="26"/>
      <c r="AO1327" s="26"/>
      <c r="AP1327" s="26"/>
      <c r="AQ1327" s="26"/>
      <c r="AR1327" s="26"/>
      <c r="AS1327" s="26"/>
      <c r="AT1327" s="26"/>
      <c r="AU1327" s="26"/>
      <c r="AV1327" s="26"/>
      <c r="AW1327" s="26"/>
      <c r="AX1327" s="26"/>
      <c r="AY1327" s="26"/>
    </row>
    <row r="1328" spans="1:51" ht="12.75" customHeight="1" x14ac:dyDescent="0.25">
      <c r="A1328" s="26"/>
      <c r="B1328" s="66"/>
      <c r="C1328" s="67"/>
      <c r="D1328" s="67"/>
      <c r="E1328" s="26"/>
      <c r="F1328" s="26"/>
      <c r="G1328" s="26"/>
      <c r="H1328" s="26"/>
      <c r="I1328" s="26"/>
      <c r="J1328" s="26"/>
      <c r="K1328" s="26"/>
      <c r="L1328" s="26"/>
      <c r="M1328" s="26"/>
      <c r="N1328" s="26"/>
      <c r="O1328" s="26"/>
      <c r="P1328" s="26"/>
      <c r="Q1328" s="26"/>
      <c r="R1328" s="26"/>
      <c r="S1328" s="26"/>
      <c r="T1328" s="26"/>
      <c r="U1328" s="26"/>
      <c r="V1328" s="26"/>
      <c r="W1328" s="26"/>
      <c r="X1328" s="26"/>
      <c r="Y1328" s="26"/>
      <c r="Z1328" s="26"/>
      <c r="AA1328" s="26"/>
      <c r="AB1328" s="26"/>
      <c r="AC1328" s="26"/>
      <c r="AD1328" s="26"/>
      <c r="AE1328" s="26"/>
      <c r="AF1328" s="26"/>
      <c r="AG1328" s="26"/>
      <c r="AH1328" s="26"/>
      <c r="AI1328" s="26"/>
      <c r="AJ1328" s="26"/>
      <c r="AK1328" s="26"/>
      <c r="AL1328" s="26"/>
      <c r="AM1328" s="26"/>
      <c r="AN1328" s="26"/>
      <c r="AO1328" s="26"/>
      <c r="AP1328" s="26"/>
      <c r="AQ1328" s="26"/>
      <c r="AR1328" s="26"/>
      <c r="AS1328" s="26"/>
      <c r="AT1328" s="26"/>
      <c r="AU1328" s="26"/>
      <c r="AV1328" s="26"/>
      <c r="AW1328" s="26"/>
      <c r="AX1328" s="26"/>
      <c r="AY1328" s="26"/>
    </row>
    <row r="1329" spans="1:51" ht="12.75" customHeight="1" x14ac:dyDescent="0.25">
      <c r="A1329" s="26"/>
      <c r="B1329" s="66"/>
      <c r="C1329" s="67"/>
      <c r="D1329" s="67"/>
      <c r="E1329" s="26"/>
      <c r="F1329" s="26"/>
      <c r="G1329" s="26"/>
      <c r="H1329" s="26"/>
      <c r="I1329" s="26"/>
      <c r="J1329" s="26"/>
      <c r="K1329" s="26"/>
      <c r="L1329" s="26"/>
      <c r="M1329" s="26"/>
      <c r="N1329" s="26"/>
      <c r="O1329" s="26"/>
      <c r="P1329" s="26"/>
      <c r="Q1329" s="26"/>
      <c r="R1329" s="26"/>
      <c r="S1329" s="26"/>
      <c r="T1329" s="26"/>
      <c r="U1329" s="26"/>
      <c r="V1329" s="26"/>
      <c r="W1329" s="26"/>
      <c r="X1329" s="26"/>
      <c r="Y1329" s="26"/>
      <c r="Z1329" s="26"/>
      <c r="AA1329" s="26"/>
      <c r="AB1329" s="26"/>
      <c r="AC1329" s="26"/>
      <c r="AD1329" s="26"/>
      <c r="AE1329" s="26"/>
      <c r="AF1329" s="26"/>
      <c r="AG1329" s="26"/>
      <c r="AH1329" s="26"/>
      <c r="AI1329" s="26"/>
      <c r="AJ1329" s="26"/>
      <c r="AK1329" s="26"/>
      <c r="AL1329" s="26"/>
      <c r="AM1329" s="26"/>
      <c r="AN1329" s="26"/>
      <c r="AO1329" s="26"/>
      <c r="AP1329" s="26"/>
      <c r="AQ1329" s="26"/>
      <c r="AR1329" s="26"/>
      <c r="AS1329" s="26"/>
      <c r="AT1329" s="26"/>
      <c r="AU1329" s="26"/>
      <c r="AV1329" s="26"/>
      <c r="AW1329" s="26"/>
      <c r="AX1329" s="26"/>
      <c r="AY1329" s="26"/>
    </row>
    <row r="1330" spans="1:51" ht="12.75" customHeight="1" x14ac:dyDescent="0.25">
      <c r="A1330" s="26"/>
      <c r="B1330" s="66"/>
      <c r="C1330" s="67"/>
      <c r="D1330" s="67"/>
      <c r="E1330" s="26"/>
      <c r="F1330" s="26"/>
      <c r="G1330" s="26"/>
      <c r="H1330" s="26"/>
      <c r="I1330" s="26"/>
      <c r="J1330" s="26"/>
      <c r="K1330" s="26"/>
      <c r="L1330" s="26"/>
      <c r="M1330" s="26"/>
      <c r="N1330" s="26"/>
      <c r="O1330" s="26"/>
      <c r="P1330" s="26"/>
      <c r="Q1330" s="26"/>
      <c r="R1330" s="26"/>
      <c r="S1330" s="26"/>
      <c r="T1330" s="26"/>
      <c r="U1330" s="26"/>
      <c r="V1330" s="26"/>
      <c r="W1330" s="26"/>
      <c r="X1330" s="26"/>
      <c r="Y1330" s="26"/>
      <c r="Z1330" s="26"/>
      <c r="AA1330" s="26"/>
      <c r="AB1330" s="26"/>
      <c r="AC1330" s="26"/>
      <c r="AD1330" s="26"/>
      <c r="AE1330" s="26"/>
      <c r="AF1330" s="26"/>
      <c r="AG1330" s="26"/>
      <c r="AH1330" s="26"/>
      <c r="AI1330" s="26"/>
      <c r="AJ1330" s="26"/>
      <c r="AK1330" s="26"/>
      <c r="AL1330" s="26"/>
      <c r="AM1330" s="26"/>
      <c r="AN1330" s="26"/>
      <c r="AO1330" s="26"/>
      <c r="AP1330" s="26"/>
      <c r="AQ1330" s="26"/>
      <c r="AR1330" s="26"/>
      <c r="AS1330" s="26"/>
      <c r="AT1330" s="26"/>
      <c r="AU1330" s="26"/>
      <c r="AV1330" s="26"/>
      <c r="AW1330" s="26"/>
      <c r="AX1330" s="26"/>
      <c r="AY1330" s="26"/>
    </row>
    <row r="1331" spans="1:51" ht="12.75" customHeight="1" x14ac:dyDescent="0.25">
      <c r="A1331" s="26"/>
      <c r="B1331" s="66"/>
      <c r="C1331" s="67"/>
      <c r="D1331" s="67"/>
      <c r="E1331" s="26"/>
      <c r="F1331" s="26"/>
      <c r="G1331" s="26"/>
      <c r="H1331" s="26"/>
      <c r="I1331" s="26"/>
      <c r="J1331" s="26"/>
      <c r="K1331" s="26"/>
      <c r="L1331" s="26"/>
      <c r="M1331" s="26"/>
      <c r="N1331" s="26"/>
      <c r="O1331" s="26"/>
      <c r="P1331" s="26"/>
      <c r="Q1331" s="26"/>
      <c r="R1331" s="26"/>
      <c r="S1331" s="26"/>
      <c r="T1331" s="26"/>
      <c r="U1331" s="26"/>
      <c r="V1331" s="26"/>
      <c r="W1331" s="26"/>
      <c r="X1331" s="26"/>
      <c r="Y1331" s="26"/>
      <c r="Z1331" s="26"/>
      <c r="AA1331" s="26"/>
      <c r="AB1331" s="26"/>
      <c r="AC1331" s="26"/>
      <c r="AD1331" s="26"/>
      <c r="AE1331" s="26"/>
      <c r="AF1331" s="26"/>
      <c r="AG1331" s="26"/>
      <c r="AH1331" s="26"/>
      <c r="AI1331" s="26"/>
      <c r="AJ1331" s="26"/>
      <c r="AK1331" s="26"/>
      <c r="AL1331" s="26"/>
      <c r="AM1331" s="26"/>
      <c r="AN1331" s="26"/>
      <c r="AO1331" s="26"/>
      <c r="AP1331" s="26"/>
      <c r="AQ1331" s="26"/>
      <c r="AR1331" s="26"/>
      <c r="AS1331" s="26"/>
      <c r="AT1331" s="26"/>
      <c r="AU1331" s="26"/>
      <c r="AV1331" s="26"/>
      <c r="AW1331" s="26"/>
      <c r="AX1331" s="26"/>
      <c r="AY1331" s="26"/>
    </row>
    <row r="1332" spans="1:51" ht="12.75" customHeight="1" x14ac:dyDescent="0.25">
      <c r="A1332" s="26"/>
      <c r="B1332" s="66"/>
      <c r="C1332" s="67"/>
      <c r="D1332" s="67"/>
      <c r="E1332" s="26"/>
      <c r="F1332" s="26"/>
      <c r="G1332" s="26"/>
      <c r="H1332" s="26"/>
      <c r="I1332" s="26"/>
      <c r="J1332" s="26"/>
      <c r="K1332" s="26"/>
      <c r="L1332" s="26"/>
      <c r="M1332" s="26"/>
      <c r="N1332" s="26"/>
      <c r="O1332" s="26"/>
      <c r="P1332" s="26"/>
      <c r="Q1332" s="26"/>
      <c r="R1332" s="26"/>
      <c r="S1332" s="26"/>
      <c r="T1332" s="26"/>
      <c r="U1332" s="26"/>
      <c r="V1332" s="26"/>
      <c r="W1332" s="26"/>
      <c r="X1332" s="26"/>
      <c r="Y1332" s="26"/>
      <c r="Z1332" s="26"/>
      <c r="AA1332" s="26"/>
      <c r="AB1332" s="26"/>
      <c r="AC1332" s="26"/>
      <c r="AD1332" s="26"/>
      <c r="AE1332" s="26"/>
      <c r="AF1332" s="26"/>
      <c r="AG1332" s="26"/>
      <c r="AH1332" s="26"/>
      <c r="AI1332" s="26"/>
      <c r="AJ1332" s="26"/>
      <c r="AK1332" s="26"/>
      <c r="AL1332" s="26"/>
      <c r="AM1332" s="26"/>
      <c r="AN1332" s="26"/>
      <c r="AO1332" s="26"/>
      <c r="AP1332" s="26"/>
      <c r="AQ1332" s="26"/>
      <c r="AR1332" s="26"/>
      <c r="AS1332" s="26"/>
      <c r="AT1332" s="26"/>
      <c r="AU1332" s="26"/>
      <c r="AV1332" s="26"/>
      <c r="AW1332" s="26"/>
      <c r="AX1332" s="26"/>
      <c r="AY1332" s="26"/>
    </row>
    <row r="1333" spans="1:51" ht="12.75" customHeight="1" x14ac:dyDescent="0.25">
      <c r="A1333" s="26"/>
      <c r="B1333" s="66"/>
      <c r="C1333" s="67"/>
      <c r="D1333" s="67"/>
      <c r="E1333" s="26"/>
      <c r="F1333" s="26"/>
      <c r="G1333" s="26"/>
      <c r="H1333" s="26"/>
      <c r="I1333" s="26"/>
      <c r="J1333" s="26"/>
      <c r="K1333" s="26"/>
      <c r="L1333" s="26"/>
      <c r="M1333" s="26"/>
      <c r="N1333" s="26"/>
      <c r="O1333" s="26"/>
      <c r="P1333" s="26"/>
      <c r="Q1333" s="26"/>
      <c r="R1333" s="26"/>
      <c r="S1333" s="26"/>
      <c r="T1333" s="26"/>
      <c r="U1333" s="26"/>
      <c r="V1333" s="26"/>
      <c r="W1333" s="26"/>
      <c r="X1333" s="26"/>
      <c r="Y1333" s="26"/>
      <c r="Z1333" s="26"/>
      <c r="AA1333" s="26"/>
      <c r="AB1333" s="26"/>
      <c r="AC1333" s="26"/>
      <c r="AD1333" s="26"/>
      <c r="AE1333" s="26"/>
      <c r="AF1333" s="26"/>
      <c r="AG1333" s="26"/>
      <c r="AH1333" s="26"/>
      <c r="AI1333" s="26"/>
      <c r="AJ1333" s="26"/>
      <c r="AK1333" s="26"/>
      <c r="AL1333" s="26"/>
      <c r="AM1333" s="26"/>
      <c r="AN1333" s="26"/>
      <c r="AO1333" s="26"/>
      <c r="AP1333" s="26"/>
      <c r="AQ1333" s="26"/>
      <c r="AR1333" s="26"/>
      <c r="AS1333" s="26"/>
      <c r="AT1333" s="26"/>
      <c r="AU1333" s="26"/>
      <c r="AV1333" s="26"/>
      <c r="AW1333" s="26"/>
      <c r="AX1333" s="26"/>
      <c r="AY1333" s="26"/>
    </row>
    <row r="1334" spans="1:51" ht="12.75" customHeight="1" x14ac:dyDescent="0.25">
      <c r="A1334" s="26"/>
      <c r="B1334" s="66"/>
      <c r="C1334" s="67"/>
      <c r="D1334" s="67"/>
      <c r="E1334" s="26"/>
      <c r="F1334" s="26"/>
      <c r="G1334" s="26"/>
      <c r="H1334" s="26"/>
      <c r="I1334" s="26"/>
      <c r="J1334" s="26"/>
      <c r="K1334" s="26"/>
      <c r="L1334" s="26"/>
      <c r="M1334" s="26"/>
      <c r="N1334" s="26"/>
      <c r="O1334" s="26"/>
      <c r="P1334" s="26"/>
      <c r="Q1334" s="26"/>
      <c r="R1334" s="26"/>
      <c r="S1334" s="26"/>
      <c r="T1334" s="26"/>
      <c r="U1334" s="26"/>
      <c r="V1334" s="26"/>
      <c r="W1334" s="26"/>
      <c r="X1334" s="26"/>
      <c r="Y1334" s="26"/>
      <c r="Z1334" s="26"/>
      <c r="AA1334" s="26"/>
      <c r="AB1334" s="26"/>
      <c r="AC1334" s="26"/>
      <c r="AD1334" s="26"/>
      <c r="AE1334" s="26"/>
      <c r="AF1334" s="26"/>
      <c r="AG1334" s="26"/>
      <c r="AH1334" s="26"/>
      <c r="AI1334" s="26"/>
      <c r="AJ1334" s="26"/>
      <c r="AK1334" s="26"/>
      <c r="AL1334" s="26"/>
      <c r="AM1334" s="26"/>
      <c r="AN1334" s="26"/>
      <c r="AO1334" s="26"/>
      <c r="AP1334" s="26"/>
      <c r="AQ1334" s="26"/>
      <c r="AR1334" s="26"/>
      <c r="AS1334" s="26"/>
      <c r="AT1334" s="26"/>
      <c r="AU1334" s="26"/>
      <c r="AV1334" s="26"/>
      <c r="AW1334" s="26"/>
      <c r="AX1334" s="26"/>
      <c r="AY1334" s="26"/>
    </row>
    <row r="1335" spans="1:51" ht="12.75" customHeight="1" x14ac:dyDescent="0.25">
      <c r="A1335" s="26"/>
      <c r="B1335" s="66"/>
      <c r="C1335" s="67"/>
      <c r="D1335" s="67"/>
      <c r="E1335" s="26"/>
      <c r="F1335" s="26"/>
      <c r="G1335" s="26"/>
      <c r="H1335" s="26"/>
      <c r="I1335" s="26"/>
      <c r="J1335" s="26"/>
      <c r="K1335" s="26"/>
      <c r="L1335" s="26"/>
      <c r="M1335" s="26"/>
      <c r="N1335" s="26"/>
      <c r="O1335" s="26"/>
      <c r="P1335" s="26"/>
      <c r="Q1335" s="26"/>
      <c r="R1335" s="26"/>
      <c r="S1335" s="76"/>
      <c r="T1335" s="26"/>
      <c r="U1335" s="26"/>
      <c r="V1335" s="26"/>
      <c r="W1335" s="26"/>
      <c r="X1335" s="26"/>
      <c r="Y1335" s="26"/>
      <c r="Z1335" s="26"/>
      <c r="AA1335" s="26"/>
      <c r="AB1335" s="26"/>
      <c r="AC1335" s="26"/>
      <c r="AD1335" s="26"/>
      <c r="AE1335" s="26"/>
      <c r="AF1335" s="26"/>
      <c r="AG1335" s="26"/>
      <c r="AH1335" s="26"/>
      <c r="AI1335" s="26"/>
      <c r="AJ1335" s="26"/>
      <c r="AK1335" s="26"/>
      <c r="AL1335" s="26"/>
      <c r="AM1335" s="26"/>
      <c r="AN1335" s="26"/>
      <c r="AO1335" s="26"/>
      <c r="AP1335" s="26"/>
      <c r="AQ1335" s="26"/>
      <c r="AR1335" s="26"/>
      <c r="AS1335" s="26"/>
      <c r="AT1335" s="26"/>
      <c r="AU1335" s="26"/>
      <c r="AV1335" s="26"/>
      <c r="AW1335" s="26"/>
      <c r="AX1335" s="26"/>
      <c r="AY1335" s="26"/>
    </row>
    <row r="1336" spans="1:51" ht="12.75" customHeight="1" x14ac:dyDescent="0.25">
      <c r="A1336" s="26"/>
      <c r="B1336" s="66"/>
      <c r="C1336" s="67"/>
      <c r="D1336" s="67"/>
      <c r="E1336" s="26"/>
      <c r="F1336" s="26"/>
      <c r="G1336" s="26"/>
      <c r="H1336" s="26"/>
      <c r="I1336" s="26"/>
      <c r="J1336" s="26"/>
      <c r="K1336" s="26"/>
      <c r="L1336" s="26"/>
      <c r="M1336" s="26"/>
      <c r="N1336" s="26"/>
      <c r="O1336" s="26"/>
      <c r="P1336" s="26"/>
      <c r="Q1336" s="26"/>
      <c r="R1336" s="26"/>
      <c r="S1336" s="76"/>
      <c r="T1336" s="26"/>
      <c r="U1336" s="26"/>
      <c r="V1336" s="26"/>
      <c r="W1336" s="26"/>
      <c r="X1336" s="26"/>
      <c r="Y1336" s="26"/>
      <c r="Z1336" s="26"/>
      <c r="AA1336" s="26"/>
      <c r="AB1336" s="26"/>
      <c r="AC1336" s="26"/>
      <c r="AD1336" s="26"/>
      <c r="AE1336" s="26"/>
      <c r="AF1336" s="26"/>
      <c r="AG1336" s="26"/>
      <c r="AH1336" s="26"/>
      <c r="AI1336" s="26"/>
      <c r="AJ1336" s="26"/>
      <c r="AK1336" s="26"/>
      <c r="AL1336" s="26"/>
      <c r="AM1336" s="26"/>
      <c r="AN1336" s="26"/>
      <c r="AO1336" s="26"/>
      <c r="AP1336" s="26"/>
      <c r="AQ1336" s="26"/>
      <c r="AR1336" s="26"/>
      <c r="AS1336" s="26"/>
      <c r="AT1336" s="26"/>
      <c r="AU1336" s="26"/>
      <c r="AV1336" s="26"/>
      <c r="AW1336" s="26"/>
      <c r="AX1336" s="26"/>
      <c r="AY1336" s="26"/>
    </row>
    <row r="1337" spans="1:51" ht="12.75" customHeight="1" x14ac:dyDescent="0.25">
      <c r="A1337" s="26"/>
      <c r="B1337" s="66"/>
      <c r="C1337" s="67"/>
      <c r="D1337" s="67"/>
      <c r="E1337" s="26"/>
      <c r="F1337" s="26"/>
      <c r="G1337" s="26"/>
      <c r="H1337" s="26"/>
      <c r="I1337" s="26"/>
      <c r="J1337" s="26"/>
      <c r="K1337" s="26"/>
      <c r="L1337" s="26"/>
      <c r="M1337" s="26"/>
      <c r="N1337" s="26"/>
      <c r="O1337" s="26"/>
      <c r="P1337" s="26"/>
      <c r="Q1337" s="26"/>
      <c r="R1337" s="26"/>
      <c r="S1337" s="86"/>
      <c r="T1337" s="26"/>
      <c r="U1337" s="26"/>
      <c r="V1337" s="26"/>
      <c r="W1337" s="26"/>
      <c r="X1337" s="26"/>
      <c r="Y1337" s="26"/>
      <c r="Z1337" s="26"/>
      <c r="AA1337" s="26"/>
      <c r="AB1337" s="26"/>
      <c r="AC1337" s="26"/>
      <c r="AD1337" s="26"/>
      <c r="AE1337" s="26"/>
      <c r="AF1337" s="26"/>
      <c r="AG1337" s="26"/>
      <c r="AH1337" s="26"/>
      <c r="AI1337" s="26"/>
      <c r="AJ1337" s="26"/>
      <c r="AK1337" s="26"/>
      <c r="AL1337" s="26"/>
      <c r="AM1337" s="26"/>
      <c r="AN1337" s="26"/>
      <c r="AO1337" s="26"/>
      <c r="AP1337" s="26"/>
      <c r="AQ1337" s="26"/>
      <c r="AR1337" s="26"/>
      <c r="AS1337" s="26"/>
      <c r="AT1337" s="26"/>
      <c r="AU1337" s="26"/>
      <c r="AV1337" s="26"/>
      <c r="AW1337" s="26"/>
      <c r="AX1337" s="26"/>
      <c r="AY1337" s="26"/>
    </row>
    <row r="1338" spans="1:51" ht="12.75" customHeight="1" x14ac:dyDescent="0.25">
      <c r="A1338" s="26"/>
      <c r="B1338" s="66"/>
      <c r="C1338" s="67"/>
      <c r="D1338" s="67"/>
      <c r="E1338" s="26"/>
      <c r="F1338" s="26"/>
      <c r="G1338" s="26"/>
      <c r="H1338" s="26"/>
      <c r="I1338" s="26"/>
      <c r="J1338" s="26"/>
      <c r="K1338" s="26"/>
      <c r="L1338" s="26"/>
      <c r="M1338" s="26"/>
      <c r="N1338" s="26"/>
      <c r="O1338" s="26"/>
      <c r="P1338" s="26"/>
      <c r="Q1338" s="26"/>
      <c r="R1338" s="26"/>
      <c r="S1338" s="86"/>
      <c r="T1338" s="26"/>
      <c r="U1338" s="26"/>
      <c r="V1338" s="26"/>
      <c r="W1338" s="26"/>
      <c r="X1338" s="26"/>
      <c r="Y1338" s="26"/>
      <c r="Z1338" s="26"/>
      <c r="AA1338" s="26"/>
      <c r="AB1338" s="26"/>
      <c r="AC1338" s="26"/>
      <c r="AD1338" s="26"/>
      <c r="AE1338" s="26"/>
      <c r="AF1338" s="26"/>
      <c r="AG1338" s="26"/>
      <c r="AH1338" s="26"/>
      <c r="AI1338" s="26"/>
      <c r="AJ1338" s="26"/>
      <c r="AK1338" s="26"/>
      <c r="AL1338" s="26"/>
      <c r="AM1338" s="26"/>
      <c r="AN1338" s="26"/>
      <c r="AO1338" s="26"/>
      <c r="AP1338" s="26"/>
      <c r="AQ1338" s="26"/>
      <c r="AR1338" s="26"/>
      <c r="AS1338" s="26"/>
      <c r="AT1338" s="26"/>
      <c r="AU1338" s="26"/>
      <c r="AV1338" s="26"/>
      <c r="AW1338" s="26"/>
      <c r="AX1338" s="26"/>
      <c r="AY1338" s="26"/>
    </row>
    <row r="1339" spans="1:51" ht="12.75" customHeight="1" x14ac:dyDescent="0.25">
      <c r="A1339" s="26"/>
      <c r="B1339" s="66"/>
      <c r="C1339" s="67"/>
      <c r="D1339" s="67"/>
      <c r="E1339" s="26"/>
      <c r="F1339" s="26"/>
      <c r="G1339" s="26"/>
      <c r="H1339" s="26"/>
      <c r="I1339" s="26"/>
      <c r="J1339" s="26"/>
      <c r="K1339" s="26"/>
      <c r="L1339" s="26"/>
      <c r="M1339" s="26"/>
      <c r="N1339" s="26"/>
      <c r="O1339" s="26"/>
      <c r="P1339" s="26"/>
      <c r="Q1339" s="26"/>
      <c r="R1339" s="26"/>
      <c r="S1339" s="86"/>
      <c r="T1339" s="26"/>
      <c r="U1339" s="26"/>
      <c r="V1339" s="26"/>
      <c r="W1339" s="26"/>
      <c r="X1339" s="26"/>
      <c r="Y1339" s="26"/>
      <c r="Z1339" s="26"/>
      <c r="AA1339" s="26"/>
      <c r="AB1339" s="26"/>
      <c r="AC1339" s="26"/>
      <c r="AD1339" s="26"/>
      <c r="AE1339" s="26"/>
      <c r="AF1339" s="26"/>
      <c r="AG1339" s="26"/>
      <c r="AH1339" s="26"/>
      <c r="AI1339" s="26"/>
      <c r="AJ1339" s="26"/>
      <c r="AK1339" s="26"/>
      <c r="AL1339" s="26"/>
      <c r="AM1339" s="26"/>
      <c r="AN1339" s="26"/>
      <c r="AO1339" s="26"/>
      <c r="AP1339" s="26"/>
      <c r="AQ1339" s="26"/>
      <c r="AR1339" s="26"/>
      <c r="AS1339" s="26"/>
      <c r="AT1339" s="26"/>
      <c r="AU1339" s="26"/>
      <c r="AV1339" s="26"/>
      <c r="AW1339" s="26"/>
      <c r="AX1339" s="26"/>
      <c r="AY1339" s="26"/>
    </row>
    <row r="1340" spans="1:51" ht="12.75" customHeight="1" x14ac:dyDescent="0.25">
      <c r="A1340" s="26"/>
      <c r="B1340" s="66"/>
      <c r="C1340" s="67"/>
      <c r="D1340" s="67"/>
      <c r="E1340" s="26"/>
      <c r="F1340" s="26"/>
      <c r="G1340" s="26"/>
      <c r="H1340" s="26"/>
      <c r="I1340" s="26"/>
      <c r="J1340" s="26"/>
      <c r="K1340" s="26"/>
      <c r="L1340" s="26"/>
      <c r="M1340" s="26"/>
      <c r="N1340" s="26"/>
      <c r="O1340" s="26"/>
      <c r="P1340" s="26"/>
      <c r="Q1340" s="26"/>
      <c r="R1340" s="26"/>
      <c r="S1340" s="86"/>
      <c r="T1340" s="26"/>
      <c r="U1340" s="26"/>
      <c r="V1340" s="26"/>
      <c r="W1340" s="26"/>
      <c r="X1340" s="26"/>
      <c r="Y1340" s="26"/>
      <c r="Z1340" s="26"/>
      <c r="AA1340" s="26"/>
      <c r="AB1340" s="26"/>
      <c r="AC1340" s="26"/>
      <c r="AD1340" s="26"/>
      <c r="AE1340" s="26"/>
      <c r="AF1340" s="26"/>
      <c r="AG1340" s="26"/>
      <c r="AH1340" s="26"/>
      <c r="AI1340" s="26"/>
      <c r="AJ1340" s="26"/>
      <c r="AK1340" s="26"/>
      <c r="AL1340" s="26"/>
      <c r="AM1340" s="26"/>
      <c r="AN1340" s="26"/>
      <c r="AO1340" s="26"/>
      <c r="AP1340" s="26"/>
      <c r="AQ1340" s="26"/>
      <c r="AR1340" s="26"/>
      <c r="AS1340" s="26"/>
      <c r="AT1340" s="26"/>
      <c r="AU1340" s="26"/>
      <c r="AV1340" s="26"/>
      <c r="AW1340" s="26"/>
      <c r="AX1340" s="26"/>
      <c r="AY1340" s="26"/>
    </row>
    <row r="1341" spans="1:51" ht="12.75" customHeight="1" x14ac:dyDescent="0.25">
      <c r="A1341" s="26"/>
      <c r="B1341" s="66"/>
      <c r="C1341" s="67"/>
      <c r="D1341" s="67"/>
      <c r="E1341" s="26"/>
      <c r="F1341" s="26"/>
      <c r="G1341" s="26"/>
      <c r="H1341" s="26"/>
      <c r="I1341" s="26"/>
      <c r="J1341" s="26"/>
      <c r="K1341" s="26"/>
      <c r="L1341" s="26"/>
      <c r="M1341" s="26"/>
      <c r="N1341" s="26"/>
      <c r="O1341" s="26"/>
      <c r="P1341" s="26"/>
      <c r="Q1341" s="26"/>
      <c r="R1341" s="26"/>
      <c r="S1341" s="86"/>
      <c r="T1341" s="26"/>
      <c r="U1341" s="26"/>
      <c r="V1341" s="26"/>
      <c r="W1341" s="26"/>
      <c r="X1341" s="26"/>
      <c r="Y1341" s="26"/>
      <c r="Z1341" s="26"/>
      <c r="AA1341" s="26"/>
      <c r="AB1341" s="26"/>
      <c r="AC1341" s="26"/>
      <c r="AD1341" s="26"/>
      <c r="AE1341" s="26"/>
      <c r="AF1341" s="26"/>
      <c r="AG1341" s="26"/>
      <c r="AH1341" s="26"/>
      <c r="AI1341" s="26"/>
      <c r="AJ1341" s="26"/>
      <c r="AK1341" s="26"/>
      <c r="AL1341" s="26"/>
      <c r="AM1341" s="26"/>
      <c r="AN1341" s="26"/>
      <c r="AO1341" s="26"/>
      <c r="AP1341" s="26"/>
      <c r="AQ1341" s="26"/>
      <c r="AR1341" s="26"/>
      <c r="AS1341" s="26"/>
      <c r="AT1341" s="26"/>
      <c r="AU1341" s="26"/>
      <c r="AV1341" s="26"/>
      <c r="AW1341" s="26"/>
      <c r="AX1341" s="26"/>
      <c r="AY1341" s="26"/>
    </row>
    <row r="1342" spans="1:51" ht="12.75" customHeight="1" x14ac:dyDescent="0.25">
      <c r="A1342" s="26"/>
      <c r="B1342" s="66"/>
      <c r="C1342" s="67"/>
      <c r="D1342" s="67"/>
      <c r="E1342" s="26"/>
      <c r="F1342" s="26"/>
      <c r="G1342" s="26"/>
      <c r="H1342" s="26"/>
      <c r="I1342" s="26"/>
      <c r="J1342" s="26"/>
      <c r="K1342" s="26"/>
      <c r="L1342" s="26"/>
      <c r="M1342" s="26"/>
      <c r="N1342" s="26"/>
      <c r="O1342" s="26"/>
      <c r="P1342" s="26"/>
      <c r="Q1342" s="26"/>
      <c r="R1342" s="26"/>
      <c r="S1342" s="86"/>
      <c r="T1342" s="26"/>
      <c r="U1342" s="26"/>
      <c r="V1342" s="26"/>
      <c r="W1342" s="26"/>
      <c r="X1342" s="26"/>
      <c r="Y1342" s="26"/>
      <c r="Z1342" s="26"/>
      <c r="AA1342" s="26"/>
      <c r="AB1342" s="26"/>
      <c r="AC1342" s="26"/>
      <c r="AD1342" s="26"/>
      <c r="AE1342" s="26"/>
      <c r="AF1342" s="26"/>
      <c r="AG1342" s="26"/>
      <c r="AH1342" s="26"/>
      <c r="AI1342" s="26"/>
      <c r="AJ1342" s="26"/>
      <c r="AK1342" s="26"/>
      <c r="AL1342" s="26"/>
      <c r="AM1342" s="26"/>
      <c r="AN1342" s="26"/>
      <c r="AO1342" s="26"/>
      <c r="AP1342" s="26"/>
      <c r="AQ1342" s="26"/>
      <c r="AR1342" s="26"/>
      <c r="AS1342" s="26"/>
      <c r="AT1342" s="26"/>
      <c r="AU1342" s="26"/>
      <c r="AV1342" s="26"/>
      <c r="AW1342" s="26"/>
      <c r="AX1342" s="26"/>
      <c r="AY1342" s="26"/>
    </row>
    <row r="1343" spans="1:51" ht="12.75" customHeight="1" x14ac:dyDescent="0.25">
      <c r="A1343" s="26"/>
      <c r="B1343" s="66"/>
      <c r="C1343" s="67"/>
      <c r="D1343" s="67"/>
      <c r="E1343" s="26"/>
      <c r="F1343" s="26"/>
      <c r="G1343" s="26"/>
      <c r="H1343" s="26"/>
      <c r="I1343" s="26"/>
      <c r="J1343" s="26"/>
      <c r="K1343" s="26"/>
      <c r="L1343" s="26"/>
      <c r="M1343" s="26"/>
      <c r="N1343" s="26"/>
      <c r="O1343" s="26"/>
      <c r="P1343" s="26"/>
      <c r="Q1343" s="26"/>
      <c r="R1343" s="26"/>
      <c r="S1343" s="86"/>
      <c r="T1343" s="26"/>
      <c r="U1343" s="26"/>
      <c r="V1343" s="26"/>
      <c r="W1343" s="26"/>
      <c r="X1343" s="26"/>
      <c r="Y1343" s="26"/>
      <c r="Z1343" s="26"/>
      <c r="AA1343" s="26"/>
      <c r="AB1343" s="26"/>
      <c r="AC1343" s="26"/>
      <c r="AD1343" s="26"/>
      <c r="AE1343" s="26"/>
      <c r="AF1343" s="26"/>
      <c r="AG1343" s="26"/>
      <c r="AH1343" s="26"/>
      <c r="AI1343" s="26"/>
      <c r="AJ1343" s="26"/>
      <c r="AK1343" s="26"/>
      <c r="AL1343" s="26"/>
      <c r="AM1343" s="26"/>
      <c r="AN1343" s="26"/>
      <c r="AO1343" s="26"/>
      <c r="AP1343" s="26"/>
      <c r="AQ1343" s="26"/>
      <c r="AR1343" s="26"/>
      <c r="AS1343" s="26"/>
      <c r="AT1343" s="26"/>
      <c r="AU1343" s="26"/>
      <c r="AV1343" s="26"/>
      <c r="AW1343" s="26"/>
      <c r="AX1343" s="26"/>
      <c r="AY1343" s="26"/>
    </row>
    <row r="1344" spans="1:51" ht="12.75" customHeight="1" x14ac:dyDescent="0.25">
      <c r="A1344" s="26"/>
      <c r="B1344" s="66"/>
      <c r="C1344" s="67"/>
      <c r="D1344" s="67"/>
      <c r="E1344" s="26"/>
      <c r="F1344" s="26"/>
      <c r="G1344" s="26"/>
      <c r="H1344" s="26"/>
      <c r="I1344" s="26"/>
      <c r="J1344" s="26"/>
      <c r="K1344" s="26"/>
      <c r="L1344" s="26"/>
      <c r="M1344" s="26"/>
      <c r="N1344" s="26"/>
      <c r="O1344" s="26"/>
      <c r="P1344" s="26"/>
      <c r="Q1344" s="26"/>
      <c r="R1344" s="26"/>
      <c r="S1344" s="86"/>
      <c r="T1344" s="26"/>
      <c r="U1344" s="26"/>
      <c r="V1344" s="26"/>
      <c r="W1344" s="26"/>
      <c r="X1344" s="26"/>
      <c r="Y1344" s="26"/>
      <c r="Z1344" s="26"/>
      <c r="AA1344" s="26"/>
      <c r="AB1344" s="26"/>
      <c r="AC1344" s="26"/>
      <c r="AD1344" s="26"/>
      <c r="AE1344" s="26"/>
      <c r="AF1344" s="26"/>
      <c r="AG1344" s="26"/>
      <c r="AH1344" s="26"/>
      <c r="AI1344" s="26"/>
      <c r="AJ1344" s="26"/>
      <c r="AK1344" s="26"/>
      <c r="AL1344" s="26"/>
      <c r="AM1344" s="26"/>
      <c r="AN1344" s="26"/>
      <c r="AO1344" s="26"/>
      <c r="AP1344" s="26"/>
      <c r="AQ1344" s="26"/>
      <c r="AR1344" s="26"/>
      <c r="AS1344" s="26"/>
      <c r="AT1344" s="26"/>
      <c r="AU1344" s="26"/>
      <c r="AV1344" s="26"/>
      <c r="AW1344" s="26"/>
      <c r="AX1344" s="26"/>
      <c r="AY1344" s="26"/>
    </row>
    <row r="1345" spans="1:51" ht="12.75" customHeight="1" x14ac:dyDescent="0.25">
      <c r="A1345" s="26"/>
      <c r="B1345" s="66"/>
      <c r="C1345" s="67"/>
      <c r="D1345" s="67"/>
      <c r="E1345" s="26"/>
      <c r="F1345" s="26"/>
      <c r="G1345" s="26"/>
      <c r="H1345" s="26"/>
      <c r="I1345" s="26"/>
      <c r="J1345" s="26"/>
      <c r="K1345" s="26"/>
      <c r="L1345" s="26"/>
      <c r="M1345" s="26"/>
      <c r="N1345" s="26"/>
      <c r="O1345" s="26"/>
      <c r="P1345" s="26"/>
      <c r="Q1345" s="26"/>
      <c r="R1345" s="26"/>
      <c r="S1345" s="86"/>
      <c r="T1345" s="26"/>
      <c r="U1345" s="26"/>
      <c r="V1345" s="26"/>
      <c r="W1345" s="26"/>
      <c r="X1345" s="26"/>
      <c r="Y1345" s="26"/>
      <c r="Z1345" s="26"/>
      <c r="AA1345" s="26"/>
      <c r="AB1345" s="26"/>
      <c r="AC1345" s="26"/>
      <c r="AD1345" s="26"/>
      <c r="AE1345" s="26"/>
      <c r="AF1345" s="26"/>
      <c r="AG1345" s="26"/>
      <c r="AH1345" s="26"/>
      <c r="AI1345" s="26"/>
      <c r="AJ1345" s="26"/>
      <c r="AK1345" s="26"/>
      <c r="AL1345" s="26"/>
      <c r="AM1345" s="26"/>
      <c r="AN1345" s="26"/>
      <c r="AO1345" s="26"/>
      <c r="AP1345" s="26"/>
      <c r="AQ1345" s="26"/>
      <c r="AR1345" s="26"/>
      <c r="AS1345" s="26"/>
      <c r="AT1345" s="26"/>
      <c r="AU1345" s="26"/>
      <c r="AV1345" s="26"/>
      <c r="AW1345" s="26"/>
      <c r="AX1345" s="26"/>
      <c r="AY1345" s="26"/>
    </row>
    <row r="1346" spans="1:51" ht="12.75" customHeight="1" x14ac:dyDescent="0.25">
      <c r="A1346" s="26"/>
      <c r="B1346" s="66"/>
      <c r="C1346" s="67"/>
      <c r="D1346" s="67"/>
      <c r="E1346" s="26"/>
      <c r="F1346" s="26"/>
      <c r="G1346" s="26"/>
      <c r="H1346" s="26"/>
      <c r="I1346" s="26"/>
      <c r="J1346" s="26"/>
      <c r="K1346" s="26"/>
      <c r="L1346" s="26"/>
      <c r="M1346" s="26"/>
      <c r="N1346" s="26"/>
      <c r="O1346" s="26"/>
      <c r="P1346" s="26"/>
      <c r="Q1346" s="26"/>
      <c r="R1346" s="26"/>
      <c r="S1346" s="26"/>
      <c r="T1346" s="26"/>
      <c r="U1346" s="26"/>
      <c r="V1346" s="26"/>
      <c r="W1346" s="26"/>
      <c r="X1346" s="26"/>
      <c r="Y1346" s="26"/>
      <c r="Z1346" s="26"/>
      <c r="AA1346" s="26"/>
      <c r="AB1346" s="26"/>
      <c r="AC1346" s="26"/>
      <c r="AD1346" s="26"/>
      <c r="AE1346" s="26"/>
      <c r="AF1346" s="26"/>
      <c r="AG1346" s="26"/>
      <c r="AH1346" s="26"/>
      <c r="AI1346" s="26"/>
      <c r="AJ1346" s="26"/>
      <c r="AK1346" s="26"/>
      <c r="AL1346" s="26"/>
      <c r="AM1346" s="26"/>
      <c r="AN1346" s="26"/>
      <c r="AO1346" s="26"/>
      <c r="AP1346" s="26"/>
      <c r="AQ1346" s="26"/>
      <c r="AR1346" s="26"/>
      <c r="AS1346" s="26"/>
      <c r="AT1346" s="26"/>
      <c r="AU1346" s="26"/>
      <c r="AV1346" s="26"/>
      <c r="AW1346" s="26"/>
      <c r="AX1346" s="26"/>
      <c r="AY1346" s="26"/>
    </row>
    <row r="1347" spans="1:51" ht="12.75" customHeight="1" x14ac:dyDescent="0.25">
      <c r="A1347" s="26"/>
      <c r="B1347" s="66"/>
      <c r="C1347" s="67"/>
      <c r="D1347" s="67"/>
      <c r="E1347" s="26"/>
      <c r="F1347" s="26"/>
      <c r="G1347" s="26"/>
      <c r="H1347" s="26"/>
      <c r="I1347" s="26"/>
      <c r="J1347" s="26"/>
      <c r="K1347" s="26"/>
      <c r="L1347" s="26"/>
      <c r="M1347" s="26"/>
      <c r="N1347" s="26"/>
      <c r="O1347" s="26"/>
      <c r="P1347" s="26"/>
      <c r="Q1347" s="26"/>
      <c r="R1347" s="26"/>
      <c r="S1347" s="26"/>
      <c r="T1347" s="26"/>
      <c r="U1347" s="26"/>
      <c r="V1347" s="26"/>
      <c r="W1347" s="26"/>
      <c r="X1347" s="26"/>
      <c r="Y1347" s="26"/>
      <c r="Z1347" s="26"/>
      <c r="AA1347" s="26"/>
      <c r="AB1347" s="26"/>
      <c r="AC1347" s="26"/>
      <c r="AD1347" s="26"/>
      <c r="AE1347" s="26"/>
      <c r="AF1347" s="26"/>
      <c r="AG1347" s="26"/>
      <c r="AH1347" s="26"/>
      <c r="AI1347" s="26"/>
      <c r="AJ1347" s="26"/>
      <c r="AK1347" s="26"/>
      <c r="AL1347" s="26"/>
      <c r="AM1347" s="26"/>
      <c r="AN1347" s="26"/>
      <c r="AO1347" s="26"/>
      <c r="AP1347" s="26"/>
      <c r="AQ1347" s="26"/>
      <c r="AR1347" s="26"/>
      <c r="AS1347" s="26"/>
      <c r="AT1347" s="26"/>
      <c r="AU1347" s="26"/>
      <c r="AV1347" s="26"/>
      <c r="AW1347" s="26"/>
      <c r="AX1347" s="26"/>
      <c r="AY1347" s="26"/>
    </row>
    <row r="1348" spans="1:51" ht="12.75" customHeight="1" x14ac:dyDescent="0.25">
      <c r="A1348" s="26"/>
      <c r="B1348" s="66"/>
      <c r="C1348" s="67"/>
      <c r="D1348" s="67"/>
      <c r="E1348" s="26"/>
      <c r="F1348" s="26"/>
      <c r="G1348" s="26"/>
      <c r="H1348" s="26"/>
      <c r="I1348" s="26"/>
      <c r="J1348" s="26"/>
      <c r="K1348" s="26"/>
      <c r="L1348" s="26"/>
      <c r="M1348" s="26"/>
      <c r="N1348" s="26"/>
      <c r="O1348" s="26"/>
      <c r="P1348" s="26"/>
      <c r="Q1348" s="26"/>
      <c r="R1348" s="26"/>
      <c r="S1348" s="26"/>
      <c r="T1348" s="26"/>
      <c r="U1348" s="26"/>
      <c r="V1348" s="26"/>
      <c r="W1348" s="26"/>
      <c r="X1348" s="26"/>
      <c r="Y1348" s="26"/>
      <c r="Z1348" s="26"/>
      <c r="AA1348" s="26"/>
      <c r="AB1348" s="26"/>
      <c r="AC1348" s="26"/>
      <c r="AD1348" s="26"/>
      <c r="AE1348" s="26"/>
      <c r="AF1348" s="26"/>
      <c r="AG1348" s="26"/>
      <c r="AH1348" s="26"/>
      <c r="AI1348" s="26"/>
      <c r="AJ1348" s="26"/>
      <c r="AK1348" s="26"/>
      <c r="AL1348" s="26"/>
      <c r="AM1348" s="26"/>
      <c r="AN1348" s="26"/>
      <c r="AO1348" s="26"/>
      <c r="AP1348" s="26"/>
      <c r="AQ1348" s="26"/>
      <c r="AR1348" s="26"/>
      <c r="AS1348" s="26"/>
      <c r="AT1348" s="26"/>
      <c r="AU1348" s="26"/>
      <c r="AV1348" s="26"/>
      <c r="AW1348" s="26"/>
      <c r="AX1348" s="26"/>
      <c r="AY1348" s="26"/>
    </row>
    <row r="1349" spans="1:51" ht="12.75" customHeight="1" x14ac:dyDescent="0.25">
      <c r="A1349" s="26"/>
      <c r="B1349" s="66"/>
      <c r="C1349" s="67"/>
      <c r="D1349" s="67"/>
      <c r="E1349" s="26"/>
      <c r="F1349" s="26"/>
      <c r="G1349" s="26"/>
      <c r="H1349" s="26"/>
      <c r="I1349" s="26"/>
      <c r="J1349" s="26"/>
      <c r="K1349" s="26"/>
      <c r="L1349" s="26"/>
      <c r="M1349" s="26"/>
      <c r="N1349" s="26"/>
      <c r="O1349" s="26"/>
      <c r="P1349" s="26"/>
      <c r="Q1349" s="26"/>
      <c r="R1349" s="26"/>
      <c r="S1349" s="26"/>
      <c r="T1349" s="26"/>
      <c r="U1349" s="26"/>
      <c r="V1349" s="26"/>
      <c r="W1349" s="26"/>
      <c r="X1349" s="26"/>
      <c r="Y1349" s="26"/>
      <c r="Z1349" s="26"/>
      <c r="AA1349" s="26"/>
      <c r="AB1349" s="26"/>
      <c r="AC1349" s="26"/>
      <c r="AD1349" s="26"/>
      <c r="AE1349" s="26"/>
      <c r="AF1349" s="26"/>
      <c r="AG1349" s="26"/>
      <c r="AH1349" s="26"/>
      <c r="AI1349" s="26"/>
      <c r="AJ1349" s="26"/>
      <c r="AK1349" s="26"/>
      <c r="AL1349" s="26"/>
      <c r="AM1349" s="26"/>
      <c r="AN1349" s="26"/>
      <c r="AO1349" s="26"/>
      <c r="AP1349" s="26"/>
      <c r="AQ1349" s="26"/>
      <c r="AR1349" s="26"/>
      <c r="AS1349" s="26"/>
      <c r="AT1349" s="26"/>
      <c r="AU1349" s="26"/>
      <c r="AV1349" s="26"/>
      <c r="AW1349" s="26"/>
      <c r="AX1349" s="26"/>
      <c r="AY1349" s="26"/>
    </row>
    <row r="1350" spans="1:51" ht="12.75" customHeight="1" x14ac:dyDescent="0.25">
      <c r="A1350" s="26"/>
      <c r="B1350" s="66"/>
      <c r="C1350" s="67"/>
      <c r="D1350" s="67"/>
      <c r="E1350" s="26"/>
      <c r="F1350" s="26"/>
      <c r="G1350" s="26"/>
      <c r="H1350" s="26"/>
      <c r="I1350" s="26"/>
      <c r="J1350" s="26"/>
      <c r="K1350" s="26"/>
      <c r="L1350" s="26"/>
      <c r="M1350" s="26"/>
      <c r="N1350" s="26"/>
      <c r="O1350" s="26"/>
      <c r="P1350" s="26"/>
      <c r="Q1350" s="26"/>
      <c r="R1350" s="26"/>
      <c r="S1350" s="26"/>
      <c r="T1350" s="26"/>
      <c r="U1350" s="26"/>
      <c r="V1350" s="26"/>
      <c r="W1350" s="26"/>
      <c r="X1350" s="26"/>
      <c r="Y1350" s="26"/>
      <c r="Z1350" s="26"/>
      <c r="AA1350" s="26"/>
      <c r="AB1350" s="26"/>
      <c r="AC1350" s="26"/>
      <c r="AD1350" s="26"/>
      <c r="AE1350" s="26"/>
      <c r="AF1350" s="26"/>
      <c r="AG1350" s="26"/>
      <c r="AH1350" s="26"/>
      <c r="AI1350" s="26"/>
      <c r="AJ1350" s="26"/>
      <c r="AK1350" s="26"/>
      <c r="AL1350" s="26"/>
      <c r="AM1350" s="26"/>
      <c r="AN1350" s="26"/>
      <c r="AO1350" s="26"/>
      <c r="AP1350" s="26"/>
      <c r="AQ1350" s="26"/>
      <c r="AR1350" s="26"/>
      <c r="AS1350" s="26"/>
      <c r="AT1350" s="26"/>
      <c r="AU1350" s="26"/>
      <c r="AV1350" s="26"/>
      <c r="AW1350" s="26"/>
      <c r="AX1350" s="26"/>
      <c r="AY1350" s="26"/>
    </row>
    <row r="1351" spans="1:51" ht="12.75" customHeight="1" x14ac:dyDescent="0.25">
      <c r="A1351" s="26"/>
      <c r="B1351" s="66"/>
      <c r="C1351" s="67"/>
      <c r="D1351" s="67"/>
      <c r="E1351" s="26"/>
      <c r="F1351" s="26"/>
      <c r="G1351" s="26"/>
      <c r="H1351" s="26"/>
      <c r="I1351" s="26"/>
      <c r="J1351" s="26"/>
      <c r="K1351" s="26"/>
      <c r="L1351" s="26"/>
      <c r="M1351" s="26"/>
      <c r="N1351" s="26"/>
      <c r="O1351" s="26"/>
      <c r="P1351" s="26"/>
      <c r="Q1351" s="26"/>
      <c r="R1351" s="26"/>
      <c r="S1351" s="26"/>
      <c r="T1351" s="26"/>
      <c r="U1351" s="26"/>
      <c r="V1351" s="26"/>
      <c r="W1351" s="26"/>
      <c r="X1351" s="26"/>
      <c r="Y1351" s="26"/>
      <c r="Z1351" s="26"/>
      <c r="AA1351" s="26"/>
      <c r="AB1351" s="26"/>
      <c r="AC1351" s="26"/>
      <c r="AD1351" s="26"/>
      <c r="AE1351" s="26"/>
      <c r="AF1351" s="26"/>
      <c r="AG1351" s="26"/>
      <c r="AH1351" s="26"/>
      <c r="AI1351" s="26"/>
      <c r="AJ1351" s="26"/>
      <c r="AK1351" s="26"/>
      <c r="AL1351" s="26"/>
      <c r="AM1351" s="26"/>
      <c r="AN1351" s="26"/>
      <c r="AO1351" s="26"/>
      <c r="AP1351" s="26"/>
      <c r="AQ1351" s="26"/>
      <c r="AR1351" s="26"/>
      <c r="AS1351" s="26"/>
      <c r="AT1351" s="26"/>
      <c r="AU1351" s="26"/>
      <c r="AV1351" s="26"/>
      <c r="AW1351" s="26"/>
      <c r="AX1351" s="26"/>
      <c r="AY1351" s="26"/>
    </row>
    <row r="1352" spans="1:51" ht="12.75" customHeight="1" x14ac:dyDescent="0.25">
      <c r="A1352" s="26"/>
      <c r="B1352" s="66"/>
      <c r="C1352" s="67"/>
      <c r="D1352" s="67"/>
      <c r="E1352" s="26"/>
      <c r="F1352" s="26"/>
      <c r="G1352" s="26"/>
      <c r="H1352" s="26"/>
      <c r="I1352" s="26"/>
      <c r="J1352" s="26"/>
      <c r="K1352" s="26"/>
      <c r="L1352" s="26"/>
      <c r="M1352" s="26"/>
      <c r="N1352" s="26"/>
      <c r="O1352" s="26"/>
      <c r="P1352" s="26"/>
      <c r="Q1352" s="26"/>
      <c r="R1352" s="26"/>
      <c r="S1352" s="26"/>
      <c r="T1352" s="26"/>
      <c r="U1352" s="26"/>
      <c r="V1352" s="26"/>
      <c r="W1352" s="26"/>
      <c r="X1352" s="26"/>
      <c r="Y1352" s="26"/>
      <c r="Z1352" s="26"/>
      <c r="AA1352" s="26"/>
      <c r="AB1352" s="26"/>
      <c r="AC1352" s="26"/>
      <c r="AD1352" s="26"/>
      <c r="AE1352" s="26"/>
      <c r="AF1352" s="26"/>
      <c r="AG1352" s="26"/>
      <c r="AH1352" s="26"/>
      <c r="AI1352" s="26"/>
      <c r="AJ1352" s="26"/>
      <c r="AK1352" s="26"/>
      <c r="AL1352" s="26"/>
      <c r="AM1352" s="26"/>
      <c r="AN1352" s="26"/>
      <c r="AO1352" s="26"/>
      <c r="AP1352" s="26"/>
      <c r="AQ1352" s="26"/>
      <c r="AR1352" s="26"/>
      <c r="AS1352" s="26"/>
      <c r="AT1352" s="26"/>
      <c r="AU1352" s="26"/>
      <c r="AV1352" s="26"/>
      <c r="AW1352" s="26"/>
      <c r="AX1352" s="26"/>
      <c r="AY1352" s="26"/>
    </row>
    <row r="1353" spans="1:51" ht="12.75" customHeight="1" x14ac:dyDescent="0.25">
      <c r="A1353" s="26"/>
      <c r="B1353" s="66"/>
      <c r="C1353" s="67"/>
      <c r="D1353" s="67"/>
      <c r="E1353" s="26"/>
      <c r="F1353" s="26"/>
      <c r="G1353" s="26"/>
      <c r="H1353" s="26"/>
      <c r="I1353" s="26"/>
      <c r="J1353" s="26"/>
      <c r="K1353" s="26"/>
      <c r="L1353" s="26"/>
      <c r="M1353" s="26"/>
      <c r="N1353" s="26"/>
      <c r="O1353" s="26"/>
      <c r="P1353" s="26"/>
      <c r="Q1353" s="26"/>
      <c r="R1353" s="26"/>
      <c r="S1353" s="26"/>
      <c r="T1353" s="26"/>
      <c r="U1353" s="26"/>
      <c r="V1353" s="26"/>
      <c r="W1353" s="26"/>
      <c r="X1353" s="26"/>
      <c r="Y1353" s="26"/>
      <c r="Z1353" s="26"/>
      <c r="AA1353" s="26"/>
      <c r="AB1353" s="26"/>
      <c r="AC1353" s="26"/>
      <c r="AD1353" s="26"/>
      <c r="AE1353" s="26"/>
      <c r="AF1353" s="26"/>
      <c r="AG1353" s="26"/>
      <c r="AH1353" s="26"/>
      <c r="AI1353" s="26"/>
      <c r="AJ1353" s="26"/>
      <c r="AK1353" s="26"/>
      <c r="AL1353" s="26"/>
      <c r="AM1353" s="26"/>
      <c r="AN1353" s="26"/>
      <c r="AO1353" s="26"/>
      <c r="AP1353" s="26"/>
      <c r="AQ1353" s="26"/>
      <c r="AR1353" s="26"/>
      <c r="AS1353" s="26"/>
      <c r="AT1353" s="26"/>
      <c r="AU1353" s="26"/>
      <c r="AV1353" s="26"/>
      <c r="AW1353" s="26"/>
      <c r="AX1353" s="26"/>
      <c r="AY1353" s="26"/>
    </row>
    <row r="1354" spans="1:51" ht="12.75" customHeight="1" x14ac:dyDescent="0.25">
      <c r="A1354" s="26"/>
      <c r="B1354" s="66"/>
      <c r="C1354" s="67"/>
      <c r="D1354" s="67"/>
      <c r="E1354" s="26"/>
      <c r="F1354" s="26"/>
      <c r="G1354" s="26"/>
      <c r="H1354" s="26"/>
      <c r="I1354" s="26"/>
      <c r="J1354" s="26"/>
      <c r="K1354" s="26"/>
      <c r="L1354" s="26"/>
      <c r="M1354" s="26"/>
      <c r="N1354" s="26"/>
      <c r="O1354" s="26"/>
      <c r="P1354" s="26"/>
      <c r="Q1354" s="26"/>
      <c r="R1354" s="26"/>
      <c r="S1354" s="26"/>
      <c r="T1354" s="26"/>
      <c r="U1354" s="26"/>
      <c r="V1354" s="26"/>
      <c r="W1354" s="26"/>
      <c r="X1354" s="26"/>
      <c r="Y1354" s="26"/>
      <c r="Z1354" s="26"/>
      <c r="AA1354" s="26"/>
      <c r="AB1354" s="26"/>
      <c r="AC1354" s="26"/>
      <c r="AD1354" s="26"/>
      <c r="AE1354" s="26"/>
      <c r="AF1354" s="26"/>
      <c r="AG1354" s="26"/>
      <c r="AH1354" s="26"/>
      <c r="AI1354" s="26"/>
      <c r="AJ1354" s="26"/>
      <c r="AK1354" s="26"/>
      <c r="AL1354" s="26"/>
      <c r="AM1354" s="26"/>
      <c r="AN1354" s="26"/>
      <c r="AO1354" s="26"/>
      <c r="AP1354" s="26"/>
      <c r="AQ1354" s="26"/>
      <c r="AR1354" s="26"/>
      <c r="AS1354" s="26"/>
      <c r="AT1354" s="26"/>
      <c r="AU1354" s="26"/>
      <c r="AV1354" s="26"/>
      <c r="AW1354" s="26"/>
      <c r="AX1354" s="26"/>
      <c r="AY1354" s="26"/>
    </row>
    <row r="1355" spans="1:51" ht="12.75" customHeight="1" x14ac:dyDescent="0.25">
      <c r="A1355" s="26"/>
      <c r="B1355" s="66"/>
      <c r="C1355" s="67"/>
      <c r="D1355" s="67"/>
      <c r="E1355" s="26"/>
      <c r="F1355" s="26"/>
      <c r="G1355" s="26"/>
      <c r="H1355" s="26"/>
      <c r="I1355" s="26"/>
      <c r="J1355" s="26"/>
      <c r="K1355" s="26"/>
      <c r="L1355" s="26"/>
      <c r="M1355" s="26"/>
      <c r="N1355" s="26"/>
      <c r="O1355" s="26"/>
      <c r="P1355" s="26"/>
      <c r="Q1355" s="26"/>
      <c r="R1355" s="26"/>
      <c r="S1355" s="26"/>
      <c r="T1355" s="26"/>
      <c r="U1355" s="26"/>
      <c r="V1355" s="26"/>
      <c r="W1355" s="26"/>
      <c r="X1355" s="26"/>
      <c r="Y1355" s="26"/>
      <c r="Z1355" s="26"/>
      <c r="AA1355" s="26"/>
      <c r="AB1355" s="26"/>
      <c r="AC1355" s="26"/>
      <c r="AD1355" s="26"/>
      <c r="AE1355" s="26"/>
      <c r="AF1355" s="26"/>
      <c r="AG1355" s="26"/>
      <c r="AH1355" s="26"/>
      <c r="AI1355" s="26"/>
      <c r="AJ1355" s="26"/>
      <c r="AK1355" s="26"/>
      <c r="AL1355" s="26"/>
      <c r="AM1355" s="26"/>
      <c r="AN1355" s="26"/>
      <c r="AO1355" s="26"/>
      <c r="AP1355" s="26"/>
      <c r="AQ1355" s="26"/>
      <c r="AR1355" s="26"/>
      <c r="AS1355" s="26"/>
      <c r="AT1355" s="26"/>
      <c r="AU1355" s="26"/>
      <c r="AV1355" s="26"/>
      <c r="AW1355" s="26"/>
      <c r="AX1355" s="26"/>
      <c r="AY1355" s="26"/>
    </row>
    <row r="1356" spans="1:51" ht="12.75" customHeight="1" x14ac:dyDescent="0.25">
      <c r="A1356" s="26"/>
      <c r="B1356" s="66"/>
      <c r="C1356" s="67"/>
      <c r="D1356" s="67"/>
      <c r="E1356" s="26"/>
      <c r="F1356" s="26"/>
      <c r="G1356" s="26"/>
      <c r="H1356" s="26"/>
      <c r="I1356" s="26"/>
      <c r="J1356" s="26"/>
      <c r="K1356" s="26"/>
      <c r="L1356" s="26"/>
      <c r="M1356" s="26"/>
      <c r="N1356" s="26"/>
      <c r="O1356" s="26"/>
      <c r="P1356" s="26"/>
      <c r="Q1356" s="26"/>
      <c r="R1356" s="26"/>
      <c r="S1356" s="26"/>
      <c r="T1356" s="26"/>
      <c r="U1356" s="26"/>
      <c r="V1356" s="26"/>
      <c r="W1356" s="26"/>
      <c r="X1356" s="26"/>
      <c r="Y1356" s="26"/>
      <c r="Z1356" s="26"/>
      <c r="AA1356" s="26"/>
      <c r="AB1356" s="26"/>
      <c r="AC1356" s="26"/>
      <c r="AD1356" s="26"/>
      <c r="AE1356" s="26"/>
      <c r="AF1356" s="26"/>
      <c r="AG1356" s="26"/>
      <c r="AH1356" s="26"/>
      <c r="AI1356" s="26"/>
      <c r="AJ1356" s="26"/>
      <c r="AK1356" s="26"/>
      <c r="AL1356" s="26"/>
      <c r="AM1356" s="26"/>
      <c r="AN1356" s="26"/>
      <c r="AO1356" s="26"/>
      <c r="AP1356" s="26"/>
      <c r="AQ1356" s="26"/>
      <c r="AR1356" s="26"/>
      <c r="AS1356" s="26"/>
      <c r="AT1356" s="26"/>
      <c r="AU1356" s="26"/>
      <c r="AV1356" s="26"/>
      <c r="AW1356" s="26"/>
      <c r="AX1356" s="26"/>
      <c r="AY1356" s="26"/>
    </row>
    <row r="1357" spans="1:51" ht="12.75" customHeight="1" x14ac:dyDescent="0.25">
      <c r="A1357" s="26"/>
      <c r="B1357" s="66"/>
      <c r="C1357" s="67"/>
      <c r="D1357" s="67"/>
      <c r="E1357" s="26"/>
      <c r="F1357" s="26"/>
      <c r="G1357" s="26"/>
      <c r="H1357" s="26"/>
      <c r="I1357" s="26"/>
      <c r="J1357" s="26"/>
      <c r="K1357" s="26"/>
      <c r="L1357" s="26"/>
      <c r="M1357" s="26"/>
      <c r="N1357" s="26"/>
      <c r="O1357" s="26"/>
      <c r="P1357" s="26"/>
      <c r="Q1357" s="26"/>
      <c r="R1357" s="26"/>
      <c r="S1357" s="26"/>
      <c r="T1357" s="26"/>
      <c r="U1357" s="26"/>
      <c r="V1357" s="26"/>
      <c r="W1357" s="26"/>
      <c r="X1357" s="26"/>
      <c r="Y1357" s="26"/>
      <c r="Z1357" s="26"/>
      <c r="AA1357" s="26"/>
      <c r="AB1357" s="26"/>
      <c r="AC1357" s="26"/>
      <c r="AD1357" s="26"/>
      <c r="AE1357" s="26"/>
      <c r="AF1357" s="26"/>
      <c r="AG1357" s="26"/>
      <c r="AH1357" s="26"/>
      <c r="AI1357" s="26"/>
      <c r="AJ1357" s="26"/>
      <c r="AK1357" s="26"/>
      <c r="AL1357" s="26"/>
      <c r="AM1357" s="26"/>
      <c r="AN1357" s="26"/>
      <c r="AO1357" s="26"/>
      <c r="AP1357" s="26"/>
      <c r="AQ1357" s="26"/>
      <c r="AR1357" s="26"/>
      <c r="AS1357" s="26"/>
      <c r="AT1357" s="26"/>
      <c r="AU1357" s="26"/>
      <c r="AV1357" s="26"/>
      <c r="AW1357" s="26"/>
      <c r="AX1357" s="26"/>
      <c r="AY1357" s="26"/>
    </row>
    <row r="1358" spans="1:51" ht="12.75" customHeight="1" x14ac:dyDescent="0.25">
      <c r="A1358" s="26"/>
      <c r="B1358" s="66"/>
      <c r="C1358" s="67"/>
      <c r="D1358" s="67"/>
      <c r="E1358" s="26"/>
      <c r="F1358" s="26"/>
      <c r="G1358" s="26"/>
      <c r="H1358" s="26"/>
      <c r="I1358" s="26"/>
      <c r="J1358" s="26"/>
      <c r="K1358" s="26"/>
      <c r="L1358" s="26"/>
      <c r="M1358" s="26"/>
      <c r="N1358" s="26"/>
      <c r="O1358" s="26"/>
      <c r="P1358" s="26"/>
      <c r="Q1358" s="26"/>
      <c r="R1358" s="26"/>
      <c r="S1358" s="26"/>
      <c r="T1358" s="26"/>
      <c r="U1358" s="26"/>
      <c r="V1358" s="26"/>
      <c r="W1358" s="26"/>
      <c r="X1358" s="26"/>
      <c r="Y1358" s="26"/>
      <c r="Z1358" s="26"/>
      <c r="AA1358" s="26"/>
      <c r="AB1358" s="26"/>
      <c r="AC1358" s="26"/>
      <c r="AD1358" s="26"/>
      <c r="AE1358" s="26"/>
      <c r="AF1358" s="26"/>
      <c r="AG1358" s="26"/>
      <c r="AH1358" s="26"/>
      <c r="AI1358" s="26"/>
      <c r="AJ1358" s="26"/>
      <c r="AK1358" s="26"/>
      <c r="AL1358" s="26"/>
      <c r="AM1358" s="26"/>
      <c r="AN1358" s="26"/>
      <c r="AO1358" s="26"/>
      <c r="AP1358" s="26"/>
      <c r="AQ1358" s="26"/>
      <c r="AR1358" s="26"/>
      <c r="AS1358" s="26"/>
      <c r="AT1358" s="26"/>
      <c r="AU1358" s="26"/>
      <c r="AV1358" s="26"/>
      <c r="AW1358" s="26"/>
      <c r="AX1358" s="26"/>
      <c r="AY1358" s="26"/>
    </row>
    <row r="1359" spans="1:51" ht="12.75" customHeight="1" x14ac:dyDescent="0.25">
      <c r="A1359" s="26"/>
      <c r="B1359" s="66"/>
      <c r="C1359" s="67"/>
      <c r="D1359" s="67"/>
      <c r="E1359" s="26"/>
      <c r="F1359" s="26"/>
      <c r="G1359" s="26"/>
      <c r="H1359" s="26"/>
      <c r="I1359" s="26"/>
      <c r="J1359" s="26"/>
      <c r="K1359" s="26"/>
      <c r="L1359" s="26"/>
      <c r="M1359" s="26"/>
      <c r="N1359" s="26"/>
      <c r="O1359" s="26"/>
      <c r="P1359" s="26"/>
      <c r="Q1359" s="26"/>
      <c r="R1359" s="26"/>
      <c r="S1359" s="26"/>
      <c r="T1359" s="26"/>
      <c r="U1359" s="26"/>
      <c r="V1359" s="26"/>
      <c r="W1359" s="26"/>
      <c r="X1359" s="26"/>
      <c r="Y1359" s="26"/>
      <c r="Z1359" s="26"/>
      <c r="AA1359" s="26"/>
      <c r="AB1359" s="26"/>
      <c r="AC1359" s="26"/>
      <c r="AD1359" s="26"/>
      <c r="AE1359" s="26"/>
      <c r="AF1359" s="26"/>
      <c r="AG1359" s="26"/>
      <c r="AH1359" s="26"/>
      <c r="AI1359" s="26"/>
      <c r="AJ1359" s="26"/>
      <c r="AK1359" s="26"/>
      <c r="AL1359" s="26"/>
      <c r="AM1359" s="26"/>
      <c r="AN1359" s="26"/>
      <c r="AO1359" s="26"/>
      <c r="AP1359" s="26"/>
      <c r="AQ1359" s="26"/>
      <c r="AR1359" s="26"/>
      <c r="AS1359" s="26"/>
      <c r="AT1359" s="26"/>
      <c r="AU1359" s="26"/>
      <c r="AV1359" s="26"/>
      <c r="AW1359" s="26"/>
      <c r="AX1359" s="26"/>
      <c r="AY1359" s="26"/>
    </row>
    <row r="1360" spans="1:51" ht="12.75" customHeight="1" x14ac:dyDescent="0.25">
      <c r="A1360" s="26"/>
      <c r="B1360" s="66"/>
      <c r="C1360" s="67"/>
      <c r="D1360" s="67"/>
      <c r="E1360" s="26"/>
      <c r="F1360" s="26"/>
      <c r="G1360" s="26"/>
      <c r="H1360" s="26"/>
      <c r="I1360" s="26"/>
      <c r="J1360" s="26"/>
      <c r="K1360" s="26"/>
      <c r="L1360" s="26"/>
      <c r="M1360" s="26"/>
      <c r="N1360" s="26"/>
      <c r="O1360" s="26"/>
      <c r="P1360" s="26"/>
      <c r="Q1360" s="26"/>
      <c r="R1360" s="26"/>
      <c r="S1360" s="26"/>
      <c r="T1360" s="26"/>
      <c r="U1360" s="26"/>
      <c r="V1360" s="26"/>
      <c r="W1360" s="26"/>
      <c r="X1360" s="26"/>
      <c r="Y1360" s="26"/>
      <c r="Z1360" s="26"/>
      <c r="AA1360" s="26"/>
      <c r="AB1360" s="26"/>
      <c r="AC1360" s="26"/>
      <c r="AD1360" s="26"/>
      <c r="AE1360" s="26"/>
      <c r="AF1360" s="26"/>
      <c r="AG1360" s="26"/>
      <c r="AH1360" s="26"/>
      <c r="AI1360" s="26"/>
      <c r="AJ1360" s="26"/>
      <c r="AK1360" s="26"/>
      <c r="AL1360" s="26"/>
      <c r="AM1360" s="26"/>
      <c r="AN1360" s="26"/>
      <c r="AO1360" s="26"/>
      <c r="AP1360" s="26"/>
      <c r="AQ1360" s="26"/>
      <c r="AR1360" s="26"/>
      <c r="AS1360" s="26"/>
      <c r="AT1360" s="26"/>
      <c r="AU1360" s="26"/>
      <c r="AV1360" s="26"/>
      <c r="AW1360" s="26"/>
      <c r="AX1360" s="26"/>
      <c r="AY1360" s="26"/>
    </row>
    <row r="1361" spans="1:51" ht="12.75" customHeight="1" x14ac:dyDescent="0.25">
      <c r="A1361" s="26"/>
      <c r="B1361" s="66"/>
      <c r="C1361" s="67"/>
      <c r="D1361" s="67"/>
      <c r="E1361" s="26"/>
      <c r="F1361" s="26"/>
      <c r="G1361" s="26"/>
      <c r="H1361" s="26"/>
      <c r="I1361" s="26"/>
      <c r="J1361" s="26"/>
      <c r="K1361" s="26"/>
      <c r="L1361" s="26"/>
      <c r="M1361" s="26"/>
      <c r="N1361" s="26"/>
      <c r="O1361" s="26"/>
      <c r="P1361" s="26"/>
      <c r="Q1361" s="26"/>
      <c r="R1361" s="26"/>
      <c r="S1361" s="26"/>
      <c r="T1361" s="26"/>
      <c r="U1361" s="26"/>
      <c r="V1361" s="26"/>
      <c r="W1361" s="26"/>
      <c r="X1361" s="26"/>
      <c r="Y1361" s="26"/>
      <c r="Z1361" s="26"/>
      <c r="AA1361" s="26"/>
      <c r="AB1361" s="26"/>
      <c r="AC1361" s="26"/>
      <c r="AD1361" s="26"/>
      <c r="AE1361" s="26"/>
      <c r="AF1361" s="26"/>
      <c r="AG1361" s="26"/>
      <c r="AH1361" s="26"/>
      <c r="AI1361" s="26"/>
      <c r="AJ1361" s="26"/>
      <c r="AK1361" s="26"/>
      <c r="AL1361" s="26"/>
      <c r="AM1361" s="26"/>
      <c r="AN1361" s="26"/>
      <c r="AO1361" s="26"/>
      <c r="AP1361" s="26"/>
      <c r="AQ1361" s="26"/>
      <c r="AR1361" s="26"/>
      <c r="AS1361" s="26"/>
      <c r="AT1361" s="26"/>
      <c r="AU1361" s="26"/>
      <c r="AV1361" s="26"/>
      <c r="AW1361" s="26"/>
      <c r="AX1361" s="26"/>
      <c r="AY1361" s="26"/>
    </row>
    <row r="1362" spans="1:51" ht="12.75" customHeight="1" x14ac:dyDescent="0.25">
      <c r="A1362" s="26"/>
      <c r="B1362" s="66"/>
      <c r="C1362" s="67"/>
      <c r="D1362" s="67"/>
      <c r="E1362" s="26"/>
      <c r="F1362" s="26"/>
      <c r="G1362" s="26"/>
      <c r="H1362" s="26"/>
      <c r="I1362" s="26"/>
      <c r="J1362" s="26"/>
      <c r="K1362" s="26"/>
      <c r="L1362" s="26"/>
      <c r="M1362" s="26"/>
      <c r="N1362" s="26"/>
      <c r="O1362" s="26"/>
      <c r="P1362" s="26"/>
      <c r="Q1362" s="26"/>
      <c r="R1362" s="26"/>
      <c r="S1362" s="26"/>
      <c r="T1362" s="26"/>
      <c r="U1362" s="26"/>
      <c r="V1362" s="26"/>
      <c r="W1362" s="26"/>
      <c r="X1362" s="26"/>
      <c r="Y1362" s="26"/>
      <c r="Z1362" s="26"/>
      <c r="AA1362" s="26"/>
      <c r="AB1362" s="26"/>
      <c r="AC1362" s="26"/>
      <c r="AD1362" s="26"/>
      <c r="AE1362" s="26"/>
      <c r="AF1362" s="26"/>
      <c r="AG1362" s="26"/>
      <c r="AH1362" s="26"/>
      <c r="AI1362" s="26"/>
      <c r="AJ1362" s="26"/>
      <c r="AK1362" s="26"/>
      <c r="AL1362" s="26"/>
      <c r="AM1362" s="26"/>
      <c r="AN1362" s="26"/>
      <c r="AO1362" s="26"/>
      <c r="AP1362" s="26"/>
      <c r="AQ1362" s="26"/>
      <c r="AR1362" s="26"/>
      <c r="AS1362" s="26"/>
      <c r="AT1362" s="26"/>
      <c r="AU1362" s="26"/>
      <c r="AV1362" s="26"/>
      <c r="AW1362" s="26"/>
      <c r="AX1362" s="26"/>
      <c r="AY1362" s="26"/>
    </row>
    <row r="1363" spans="1:51" ht="12.75" customHeight="1" x14ac:dyDescent="0.25">
      <c r="A1363" s="26"/>
      <c r="B1363" s="66"/>
      <c r="C1363" s="67"/>
      <c r="D1363" s="67"/>
      <c r="E1363" s="26"/>
      <c r="F1363" s="26"/>
      <c r="G1363" s="26"/>
      <c r="H1363" s="26"/>
      <c r="I1363" s="26"/>
      <c r="J1363" s="26"/>
      <c r="K1363" s="26"/>
      <c r="L1363" s="26"/>
      <c r="M1363" s="26"/>
      <c r="N1363" s="26"/>
      <c r="O1363" s="26"/>
      <c r="P1363" s="26"/>
      <c r="Q1363" s="26"/>
      <c r="R1363" s="26"/>
      <c r="S1363" s="26"/>
      <c r="T1363" s="26"/>
      <c r="U1363" s="26"/>
      <c r="V1363" s="26"/>
      <c r="W1363" s="26"/>
      <c r="X1363" s="26"/>
      <c r="Y1363" s="26"/>
      <c r="Z1363" s="26"/>
      <c r="AA1363" s="26"/>
      <c r="AB1363" s="26"/>
      <c r="AC1363" s="26"/>
      <c r="AD1363" s="26"/>
      <c r="AE1363" s="26"/>
      <c r="AF1363" s="26"/>
      <c r="AG1363" s="26"/>
      <c r="AH1363" s="26"/>
      <c r="AI1363" s="26"/>
      <c r="AJ1363" s="26"/>
      <c r="AK1363" s="26"/>
      <c r="AL1363" s="26"/>
      <c r="AM1363" s="26"/>
      <c r="AN1363" s="26"/>
      <c r="AO1363" s="26"/>
      <c r="AP1363" s="26"/>
      <c r="AQ1363" s="26"/>
      <c r="AR1363" s="26"/>
      <c r="AS1363" s="26"/>
      <c r="AT1363" s="26"/>
      <c r="AU1363" s="26"/>
      <c r="AV1363" s="26"/>
      <c r="AW1363" s="26"/>
      <c r="AX1363" s="26"/>
      <c r="AY1363" s="26"/>
    </row>
    <row r="1364" spans="1:51" ht="12.75" customHeight="1" x14ac:dyDescent="0.25">
      <c r="A1364" s="26"/>
      <c r="B1364" s="66"/>
      <c r="C1364" s="67"/>
      <c r="D1364" s="67"/>
      <c r="E1364" s="26"/>
      <c r="F1364" s="26"/>
      <c r="G1364" s="26"/>
      <c r="H1364" s="26"/>
      <c r="I1364" s="26"/>
      <c r="J1364" s="26"/>
      <c r="K1364" s="26"/>
      <c r="L1364" s="26"/>
      <c r="M1364" s="26"/>
      <c r="N1364" s="26"/>
      <c r="O1364" s="26"/>
      <c r="P1364" s="26"/>
      <c r="Q1364" s="26"/>
      <c r="R1364" s="26"/>
      <c r="S1364" s="26"/>
      <c r="T1364" s="26"/>
      <c r="U1364" s="26"/>
      <c r="V1364" s="26"/>
      <c r="W1364" s="26"/>
      <c r="X1364" s="26"/>
      <c r="Y1364" s="26"/>
      <c r="Z1364" s="26"/>
      <c r="AA1364" s="26"/>
      <c r="AB1364" s="26"/>
      <c r="AC1364" s="26"/>
      <c r="AD1364" s="26"/>
      <c r="AE1364" s="26"/>
      <c r="AF1364" s="26"/>
      <c r="AG1364" s="26"/>
      <c r="AH1364" s="26"/>
      <c r="AI1364" s="26"/>
      <c r="AJ1364" s="26"/>
      <c r="AK1364" s="26"/>
      <c r="AL1364" s="26"/>
      <c r="AM1364" s="26"/>
      <c r="AN1364" s="26"/>
      <c r="AO1364" s="26"/>
      <c r="AP1364" s="26"/>
      <c r="AQ1364" s="26"/>
      <c r="AR1364" s="26"/>
      <c r="AS1364" s="26"/>
      <c r="AT1364" s="26"/>
      <c r="AU1364" s="26"/>
      <c r="AV1364" s="26"/>
      <c r="AW1364" s="26"/>
      <c r="AX1364" s="26"/>
      <c r="AY1364" s="26"/>
    </row>
    <row r="1365" spans="1:51" ht="12.75" customHeight="1" x14ac:dyDescent="0.25">
      <c r="A1365" s="26"/>
      <c r="B1365" s="66"/>
      <c r="C1365" s="67"/>
      <c r="D1365" s="67"/>
      <c r="E1365" s="26"/>
      <c r="F1365" s="26"/>
      <c r="G1365" s="26"/>
      <c r="H1365" s="26"/>
      <c r="I1365" s="26"/>
      <c r="J1365" s="26"/>
      <c r="K1365" s="26"/>
      <c r="L1365" s="26"/>
      <c r="M1365" s="26"/>
      <c r="N1365" s="26"/>
      <c r="O1365" s="26"/>
      <c r="P1365" s="26"/>
      <c r="Q1365" s="26"/>
      <c r="R1365" s="26"/>
      <c r="S1365" s="26"/>
      <c r="T1365" s="26"/>
      <c r="U1365" s="26"/>
      <c r="V1365" s="26"/>
      <c r="W1365" s="26"/>
      <c r="X1365" s="26"/>
      <c r="Y1365" s="26"/>
      <c r="Z1365" s="26"/>
      <c r="AA1365" s="26"/>
      <c r="AB1365" s="26"/>
      <c r="AC1365" s="26"/>
      <c r="AD1365" s="26"/>
      <c r="AE1365" s="26"/>
      <c r="AF1365" s="26"/>
      <c r="AG1365" s="26"/>
      <c r="AH1365" s="26"/>
      <c r="AI1365" s="26"/>
      <c r="AJ1365" s="26"/>
      <c r="AK1365" s="26"/>
      <c r="AL1365" s="26"/>
      <c r="AM1365" s="26"/>
      <c r="AN1365" s="26"/>
      <c r="AO1365" s="26"/>
      <c r="AP1365" s="26"/>
      <c r="AQ1365" s="26"/>
      <c r="AR1365" s="26"/>
      <c r="AS1365" s="26"/>
      <c r="AT1365" s="26"/>
      <c r="AU1365" s="26"/>
      <c r="AV1365" s="26"/>
      <c r="AW1365" s="26"/>
      <c r="AX1365" s="26"/>
      <c r="AY1365" s="26"/>
    </row>
    <row r="1366" spans="1:51" ht="12.75" customHeight="1" x14ac:dyDescent="0.25">
      <c r="A1366" s="26"/>
      <c r="B1366" s="66"/>
      <c r="C1366" s="67"/>
      <c r="D1366" s="67"/>
      <c r="E1366" s="26"/>
      <c r="F1366" s="26"/>
      <c r="G1366" s="26"/>
      <c r="H1366" s="26"/>
      <c r="I1366" s="26"/>
      <c r="J1366" s="26"/>
      <c r="K1366" s="26"/>
      <c r="L1366" s="26"/>
      <c r="M1366" s="26"/>
      <c r="N1366" s="26"/>
      <c r="O1366" s="26"/>
      <c r="P1366" s="26"/>
      <c r="Q1366" s="26"/>
      <c r="R1366" s="26"/>
      <c r="S1366" s="26"/>
      <c r="T1366" s="26"/>
      <c r="U1366" s="26"/>
      <c r="V1366" s="26"/>
      <c r="W1366" s="26"/>
      <c r="X1366" s="26"/>
      <c r="Y1366" s="26"/>
      <c r="Z1366" s="26"/>
      <c r="AA1366" s="26"/>
      <c r="AB1366" s="26"/>
      <c r="AC1366" s="26"/>
      <c r="AD1366" s="26"/>
      <c r="AE1366" s="26"/>
      <c r="AF1366" s="26"/>
      <c r="AG1366" s="26"/>
      <c r="AH1366" s="26"/>
      <c r="AI1366" s="26"/>
      <c r="AJ1366" s="26"/>
      <c r="AK1366" s="26"/>
      <c r="AL1366" s="26"/>
      <c r="AM1366" s="26"/>
      <c r="AN1366" s="26"/>
      <c r="AO1366" s="26"/>
      <c r="AP1366" s="26"/>
      <c r="AQ1366" s="26"/>
      <c r="AR1366" s="26"/>
      <c r="AS1366" s="26"/>
      <c r="AT1366" s="26"/>
      <c r="AU1366" s="26"/>
      <c r="AV1366" s="26"/>
      <c r="AW1366" s="26"/>
      <c r="AX1366" s="26"/>
      <c r="AY1366" s="26"/>
    </row>
    <row r="1367" spans="1:51" ht="12.75" customHeight="1" x14ac:dyDescent="0.25">
      <c r="A1367" s="26"/>
      <c r="B1367" s="66"/>
      <c r="C1367" s="67"/>
      <c r="D1367" s="67"/>
      <c r="E1367" s="26"/>
      <c r="F1367" s="26"/>
      <c r="G1367" s="26"/>
      <c r="H1367" s="26"/>
      <c r="I1367" s="26"/>
      <c r="J1367" s="26"/>
      <c r="K1367" s="26"/>
      <c r="L1367" s="26"/>
      <c r="M1367" s="26"/>
      <c r="N1367" s="26"/>
      <c r="O1367" s="26"/>
      <c r="P1367" s="26"/>
      <c r="Q1367" s="26"/>
      <c r="R1367" s="26"/>
      <c r="S1367" s="26"/>
      <c r="T1367" s="26"/>
      <c r="U1367" s="26"/>
      <c r="V1367" s="26"/>
      <c r="W1367" s="26"/>
      <c r="X1367" s="26"/>
      <c r="Y1367" s="26"/>
      <c r="Z1367" s="26"/>
      <c r="AA1367" s="26"/>
      <c r="AB1367" s="26"/>
      <c r="AC1367" s="26"/>
      <c r="AD1367" s="26"/>
      <c r="AE1367" s="26"/>
      <c r="AF1367" s="26"/>
      <c r="AG1367" s="26"/>
      <c r="AH1367" s="26"/>
      <c r="AI1367" s="26"/>
      <c r="AJ1367" s="26"/>
      <c r="AK1367" s="26"/>
      <c r="AL1367" s="26"/>
      <c r="AM1367" s="26"/>
      <c r="AN1367" s="26"/>
      <c r="AO1367" s="26"/>
      <c r="AP1367" s="26"/>
      <c r="AQ1367" s="26"/>
      <c r="AR1367" s="26"/>
      <c r="AS1367" s="26"/>
      <c r="AT1367" s="26"/>
      <c r="AU1367" s="26"/>
      <c r="AV1367" s="26"/>
      <c r="AW1367" s="26"/>
      <c r="AX1367" s="26"/>
      <c r="AY1367" s="26"/>
    </row>
    <row r="1368" spans="1:51" ht="12.75" customHeight="1" x14ac:dyDescent="0.25">
      <c r="A1368" s="26"/>
      <c r="B1368" s="66"/>
      <c r="C1368" s="67"/>
      <c r="D1368" s="67"/>
      <c r="E1368" s="26"/>
      <c r="F1368" s="26"/>
      <c r="G1368" s="26"/>
      <c r="H1368" s="26"/>
      <c r="I1368" s="26"/>
      <c r="J1368" s="26"/>
      <c r="K1368" s="26"/>
      <c r="L1368" s="26"/>
      <c r="M1368" s="26"/>
      <c r="N1368" s="26"/>
      <c r="O1368" s="26"/>
      <c r="P1368" s="26"/>
      <c r="Q1368" s="26"/>
      <c r="R1368" s="26"/>
      <c r="S1368" s="26"/>
      <c r="T1368" s="26"/>
      <c r="U1368" s="26"/>
      <c r="V1368" s="26"/>
      <c r="W1368" s="26"/>
      <c r="X1368" s="26"/>
      <c r="Y1368" s="26"/>
      <c r="Z1368" s="26"/>
      <c r="AA1368" s="26"/>
      <c r="AB1368" s="26"/>
      <c r="AC1368" s="26"/>
      <c r="AD1368" s="26"/>
      <c r="AE1368" s="26"/>
      <c r="AF1368" s="26"/>
      <c r="AG1368" s="26"/>
      <c r="AH1368" s="26"/>
      <c r="AI1368" s="26"/>
      <c r="AJ1368" s="26"/>
      <c r="AK1368" s="26"/>
      <c r="AL1368" s="26"/>
      <c r="AM1368" s="26"/>
      <c r="AN1368" s="26"/>
      <c r="AO1368" s="26"/>
      <c r="AP1368" s="26"/>
      <c r="AQ1368" s="26"/>
      <c r="AR1368" s="26"/>
      <c r="AS1368" s="26"/>
      <c r="AT1368" s="26"/>
      <c r="AU1368" s="26"/>
      <c r="AV1368" s="26"/>
      <c r="AW1368" s="26"/>
      <c r="AX1368" s="26"/>
      <c r="AY1368" s="26"/>
    </row>
    <row r="1369" spans="1:51" ht="12.75" customHeight="1" x14ac:dyDescent="0.25">
      <c r="A1369" s="26"/>
      <c r="B1369" s="66"/>
      <c r="C1369" s="67"/>
      <c r="D1369" s="67"/>
      <c r="E1369" s="26"/>
      <c r="F1369" s="26"/>
      <c r="G1369" s="26"/>
      <c r="H1369" s="26"/>
      <c r="I1369" s="26"/>
      <c r="J1369" s="26"/>
      <c r="K1369" s="26"/>
      <c r="L1369" s="26"/>
      <c r="M1369" s="26"/>
      <c r="N1369" s="26"/>
      <c r="O1369" s="26"/>
      <c r="P1369" s="26"/>
      <c r="Q1369" s="26"/>
      <c r="R1369" s="26"/>
      <c r="S1369" s="26"/>
      <c r="T1369" s="26"/>
      <c r="U1369" s="26"/>
      <c r="V1369" s="26"/>
      <c r="W1369" s="26"/>
      <c r="X1369" s="26"/>
      <c r="Y1369" s="26"/>
      <c r="Z1369" s="26"/>
      <c r="AA1369" s="26"/>
      <c r="AB1369" s="26"/>
      <c r="AC1369" s="26"/>
      <c r="AD1369" s="26"/>
      <c r="AE1369" s="26"/>
      <c r="AF1369" s="26"/>
      <c r="AG1369" s="26"/>
      <c r="AH1369" s="26"/>
      <c r="AI1369" s="26"/>
      <c r="AJ1369" s="26"/>
      <c r="AK1369" s="26"/>
      <c r="AL1369" s="26"/>
      <c r="AM1369" s="26"/>
      <c r="AN1369" s="26"/>
      <c r="AO1369" s="26"/>
      <c r="AP1369" s="26"/>
      <c r="AQ1369" s="26"/>
      <c r="AR1369" s="26"/>
      <c r="AS1369" s="26"/>
      <c r="AT1369" s="26"/>
      <c r="AU1369" s="26"/>
      <c r="AV1369" s="26"/>
      <c r="AW1369" s="26"/>
      <c r="AX1369" s="26"/>
      <c r="AY1369" s="26"/>
    </row>
    <row r="1370" spans="1:51" ht="12.75" customHeight="1" x14ac:dyDescent="0.25">
      <c r="A1370" s="26"/>
      <c r="B1370" s="66"/>
      <c r="C1370" s="67"/>
      <c r="D1370" s="67"/>
      <c r="E1370" s="26"/>
      <c r="F1370" s="26"/>
      <c r="G1370" s="26"/>
      <c r="H1370" s="26"/>
      <c r="I1370" s="26"/>
      <c r="J1370" s="26"/>
      <c r="K1370" s="26"/>
      <c r="L1370" s="26"/>
      <c r="M1370" s="26"/>
      <c r="N1370" s="26"/>
      <c r="O1370" s="26"/>
      <c r="P1370" s="26"/>
      <c r="Q1370" s="26"/>
      <c r="R1370" s="26"/>
      <c r="S1370" s="26"/>
      <c r="T1370" s="26"/>
      <c r="U1370" s="26"/>
      <c r="V1370" s="26"/>
      <c r="W1370" s="26"/>
      <c r="X1370" s="26"/>
      <c r="Y1370" s="26"/>
      <c r="Z1370" s="26"/>
      <c r="AA1370" s="26"/>
      <c r="AB1370" s="26"/>
      <c r="AC1370" s="26"/>
      <c r="AD1370" s="26"/>
      <c r="AE1370" s="26"/>
      <c r="AF1370" s="26"/>
      <c r="AG1370" s="26"/>
      <c r="AH1370" s="26"/>
      <c r="AI1370" s="26"/>
      <c r="AJ1370" s="26"/>
      <c r="AK1370" s="26"/>
      <c r="AL1370" s="26"/>
      <c r="AM1370" s="26"/>
      <c r="AN1370" s="26"/>
      <c r="AO1370" s="26"/>
      <c r="AP1370" s="26"/>
      <c r="AQ1370" s="26"/>
      <c r="AR1370" s="26"/>
      <c r="AS1370" s="26"/>
      <c r="AT1370" s="26"/>
      <c r="AU1370" s="26"/>
      <c r="AV1370" s="26"/>
      <c r="AW1370" s="26"/>
      <c r="AX1370" s="26"/>
      <c r="AY1370" s="26"/>
    </row>
    <row r="1371" spans="1:51" ht="12.75" customHeight="1" x14ac:dyDescent="0.25">
      <c r="A1371" s="26"/>
      <c r="B1371" s="66"/>
      <c r="C1371" s="67"/>
      <c r="D1371" s="67"/>
      <c r="E1371" s="26"/>
      <c r="F1371" s="26"/>
      <c r="G1371" s="26"/>
      <c r="H1371" s="26"/>
      <c r="I1371" s="26"/>
      <c r="J1371" s="26"/>
      <c r="K1371" s="26"/>
      <c r="L1371" s="26"/>
      <c r="M1371" s="26"/>
      <c r="N1371" s="26"/>
      <c r="O1371" s="26"/>
      <c r="P1371" s="26"/>
      <c r="Q1371" s="26"/>
      <c r="R1371" s="26"/>
      <c r="S1371" s="26"/>
      <c r="T1371" s="26"/>
      <c r="U1371" s="26"/>
      <c r="V1371" s="26"/>
      <c r="W1371" s="26"/>
      <c r="X1371" s="26"/>
      <c r="Y1371" s="26"/>
      <c r="Z1371" s="26"/>
      <c r="AA1371" s="26"/>
      <c r="AB1371" s="26"/>
      <c r="AC1371" s="26"/>
      <c r="AD1371" s="26"/>
      <c r="AE1371" s="26"/>
      <c r="AF1371" s="26"/>
      <c r="AG1371" s="26"/>
      <c r="AH1371" s="26"/>
      <c r="AI1371" s="26"/>
      <c r="AJ1371" s="26"/>
      <c r="AK1371" s="26"/>
      <c r="AL1371" s="26"/>
      <c r="AM1371" s="26"/>
      <c r="AN1371" s="26"/>
      <c r="AO1371" s="26"/>
      <c r="AP1371" s="26"/>
      <c r="AQ1371" s="26"/>
      <c r="AR1371" s="26"/>
      <c r="AS1371" s="26"/>
      <c r="AT1371" s="26"/>
      <c r="AU1371" s="26"/>
      <c r="AV1371" s="26"/>
      <c r="AW1371" s="26"/>
      <c r="AX1371" s="26"/>
      <c r="AY1371" s="26"/>
    </row>
    <row r="1372" spans="1:51" ht="12.75" customHeight="1" x14ac:dyDescent="0.25">
      <c r="A1372" s="26"/>
      <c r="B1372" s="66"/>
      <c r="C1372" s="67"/>
      <c r="D1372" s="67"/>
      <c r="E1372" s="26"/>
      <c r="F1372" s="26"/>
      <c r="G1372" s="26"/>
      <c r="H1372" s="26"/>
      <c r="I1372" s="26"/>
      <c r="J1372" s="26"/>
      <c r="K1372" s="26"/>
      <c r="L1372" s="26"/>
      <c r="M1372" s="26"/>
      <c r="N1372" s="26"/>
      <c r="O1372" s="26"/>
      <c r="P1372" s="26"/>
      <c r="Q1372" s="26"/>
      <c r="R1372" s="26"/>
      <c r="S1372" s="26"/>
      <c r="T1372" s="26"/>
      <c r="U1372" s="26"/>
      <c r="V1372" s="26"/>
      <c r="W1372" s="26"/>
      <c r="X1372" s="26"/>
      <c r="Y1372" s="26"/>
      <c r="Z1372" s="26"/>
      <c r="AA1372" s="26"/>
      <c r="AB1372" s="26"/>
      <c r="AC1372" s="26"/>
      <c r="AD1372" s="26"/>
      <c r="AE1372" s="26"/>
      <c r="AF1372" s="26"/>
      <c r="AG1372" s="26"/>
      <c r="AH1372" s="26"/>
      <c r="AI1372" s="26"/>
      <c r="AJ1372" s="26"/>
      <c r="AK1372" s="26"/>
      <c r="AL1372" s="26"/>
      <c r="AM1372" s="26"/>
      <c r="AN1372" s="26"/>
      <c r="AO1372" s="26"/>
      <c r="AP1372" s="26"/>
      <c r="AQ1372" s="26"/>
      <c r="AR1372" s="26"/>
      <c r="AS1372" s="26"/>
      <c r="AT1372" s="26"/>
      <c r="AU1372" s="26"/>
      <c r="AV1372" s="26"/>
      <c r="AW1372" s="26"/>
      <c r="AX1372" s="26"/>
      <c r="AY1372" s="26"/>
    </row>
    <row r="1373" spans="1:51" ht="12.75" customHeight="1" x14ac:dyDescent="0.25">
      <c r="A1373" s="26"/>
      <c r="B1373" s="66"/>
      <c r="C1373" s="67"/>
      <c r="D1373" s="67"/>
      <c r="E1373" s="26"/>
      <c r="F1373" s="26"/>
      <c r="G1373" s="26"/>
      <c r="H1373" s="26"/>
      <c r="I1373" s="26"/>
      <c r="J1373" s="26"/>
      <c r="K1373" s="26"/>
      <c r="L1373" s="26"/>
      <c r="M1373" s="26"/>
      <c r="N1373" s="26"/>
      <c r="O1373" s="26"/>
      <c r="P1373" s="26"/>
      <c r="Q1373" s="26"/>
      <c r="R1373" s="26"/>
      <c r="S1373" s="26"/>
      <c r="T1373" s="26"/>
      <c r="U1373" s="26"/>
      <c r="V1373" s="26"/>
      <c r="W1373" s="26"/>
      <c r="X1373" s="26"/>
      <c r="Y1373" s="26"/>
      <c r="Z1373" s="26"/>
      <c r="AA1373" s="26"/>
      <c r="AB1373" s="26"/>
      <c r="AC1373" s="26"/>
      <c r="AD1373" s="26"/>
      <c r="AE1373" s="26"/>
      <c r="AF1373" s="26"/>
      <c r="AG1373" s="26"/>
      <c r="AH1373" s="26"/>
      <c r="AI1373" s="26"/>
      <c r="AJ1373" s="26"/>
      <c r="AK1373" s="26"/>
      <c r="AL1373" s="26"/>
      <c r="AM1373" s="26"/>
      <c r="AN1373" s="26"/>
      <c r="AO1373" s="26"/>
      <c r="AP1373" s="26"/>
      <c r="AQ1373" s="26"/>
      <c r="AR1373" s="26"/>
      <c r="AS1373" s="26"/>
      <c r="AT1373" s="26"/>
      <c r="AU1373" s="26"/>
      <c r="AV1373" s="26"/>
      <c r="AW1373" s="26"/>
      <c r="AX1373" s="26"/>
      <c r="AY1373" s="26"/>
    </row>
    <row r="1374" spans="1:51" ht="12.75" customHeight="1" x14ac:dyDescent="0.25">
      <c r="A1374" s="26"/>
      <c r="B1374" s="66"/>
      <c r="C1374" s="67"/>
      <c r="D1374" s="67"/>
      <c r="E1374" s="26"/>
      <c r="F1374" s="26"/>
      <c r="G1374" s="26"/>
      <c r="H1374" s="26"/>
      <c r="I1374" s="26"/>
      <c r="J1374" s="26"/>
      <c r="K1374" s="26"/>
      <c r="L1374" s="26"/>
      <c r="M1374" s="26"/>
      <c r="N1374" s="26"/>
      <c r="O1374" s="26"/>
      <c r="P1374" s="26"/>
      <c r="Q1374" s="26"/>
      <c r="R1374" s="26"/>
      <c r="S1374" s="26"/>
      <c r="T1374" s="26"/>
      <c r="U1374" s="26"/>
      <c r="V1374" s="26"/>
      <c r="W1374" s="26"/>
      <c r="X1374" s="26"/>
      <c r="Y1374" s="26"/>
      <c r="Z1374" s="26"/>
      <c r="AA1374" s="26"/>
      <c r="AB1374" s="26"/>
      <c r="AC1374" s="26"/>
      <c r="AD1374" s="26"/>
      <c r="AE1374" s="26"/>
      <c r="AF1374" s="26"/>
      <c r="AG1374" s="26"/>
      <c r="AH1374" s="26"/>
      <c r="AI1374" s="26"/>
      <c r="AJ1374" s="26"/>
      <c r="AK1374" s="26"/>
      <c r="AL1374" s="26"/>
      <c r="AM1374" s="26"/>
      <c r="AN1374" s="26"/>
      <c r="AO1374" s="26"/>
      <c r="AP1374" s="26"/>
      <c r="AQ1374" s="26"/>
      <c r="AR1374" s="26"/>
      <c r="AS1374" s="26"/>
      <c r="AT1374" s="26"/>
      <c r="AU1374" s="26"/>
      <c r="AV1374" s="26"/>
      <c r="AW1374" s="26"/>
      <c r="AX1374" s="26"/>
      <c r="AY1374" s="26"/>
    </row>
    <row r="1375" spans="1:51" ht="12.75" customHeight="1" x14ac:dyDescent="0.25">
      <c r="A1375" s="26"/>
      <c r="B1375" s="66"/>
      <c r="C1375" s="67"/>
      <c r="D1375" s="67"/>
      <c r="E1375" s="26"/>
      <c r="F1375" s="26"/>
      <c r="G1375" s="26"/>
      <c r="H1375" s="26"/>
      <c r="I1375" s="26"/>
      <c r="J1375" s="26"/>
      <c r="K1375" s="26"/>
      <c r="L1375" s="26"/>
      <c r="M1375" s="26"/>
      <c r="N1375" s="26"/>
      <c r="O1375" s="26"/>
      <c r="P1375" s="26"/>
      <c r="Q1375" s="26"/>
      <c r="R1375" s="26"/>
      <c r="S1375" s="26"/>
      <c r="T1375" s="26"/>
      <c r="U1375" s="26"/>
      <c r="V1375" s="26"/>
      <c r="W1375" s="26"/>
      <c r="X1375" s="26"/>
      <c r="Y1375" s="26"/>
      <c r="Z1375" s="26"/>
      <c r="AA1375" s="26"/>
      <c r="AB1375" s="26"/>
      <c r="AC1375" s="26"/>
      <c r="AD1375" s="26"/>
      <c r="AE1375" s="26"/>
      <c r="AF1375" s="26"/>
      <c r="AG1375" s="26"/>
      <c r="AH1375" s="26"/>
      <c r="AI1375" s="26"/>
      <c r="AJ1375" s="26"/>
      <c r="AK1375" s="26"/>
      <c r="AL1375" s="26"/>
      <c r="AM1375" s="26"/>
      <c r="AN1375" s="26"/>
      <c r="AO1375" s="26"/>
      <c r="AP1375" s="26"/>
      <c r="AQ1375" s="26"/>
      <c r="AR1375" s="26"/>
      <c r="AS1375" s="26"/>
      <c r="AT1375" s="26"/>
      <c r="AU1375" s="26"/>
      <c r="AV1375" s="26"/>
      <c r="AW1375" s="26"/>
      <c r="AX1375" s="26"/>
      <c r="AY1375" s="26"/>
    </row>
    <row r="1376" spans="1:51" ht="12.75" customHeight="1" x14ac:dyDescent="0.25">
      <c r="A1376" s="26"/>
      <c r="B1376" s="66"/>
      <c r="C1376" s="67"/>
      <c r="D1376" s="67"/>
      <c r="E1376" s="26"/>
      <c r="F1376" s="26"/>
      <c r="G1376" s="26"/>
      <c r="H1376" s="26"/>
      <c r="I1376" s="26"/>
      <c r="J1376" s="26"/>
      <c r="K1376" s="26"/>
      <c r="L1376" s="26"/>
      <c r="M1376" s="26"/>
      <c r="N1376" s="26"/>
      <c r="O1376" s="26"/>
      <c r="P1376" s="26"/>
      <c r="Q1376" s="26"/>
      <c r="R1376" s="26"/>
      <c r="S1376" s="26"/>
      <c r="T1376" s="26"/>
      <c r="U1376" s="26"/>
      <c r="V1376" s="26"/>
      <c r="W1376" s="26"/>
      <c r="X1376" s="26"/>
      <c r="Y1376" s="26"/>
      <c r="Z1376" s="26"/>
      <c r="AA1376" s="26"/>
      <c r="AB1376" s="26"/>
      <c r="AC1376" s="26"/>
      <c r="AD1376" s="26"/>
      <c r="AE1376" s="26"/>
      <c r="AF1376" s="26"/>
      <c r="AG1376" s="26"/>
      <c r="AH1376" s="26"/>
      <c r="AI1376" s="26"/>
      <c r="AJ1376" s="26"/>
      <c r="AK1376" s="26"/>
      <c r="AL1376" s="26"/>
      <c r="AM1376" s="26"/>
      <c r="AN1376" s="26"/>
      <c r="AO1376" s="26"/>
      <c r="AP1376" s="26"/>
      <c r="AQ1376" s="26"/>
      <c r="AR1376" s="26"/>
      <c r="AS1376" s="26"/>
      <c r="AT1376" s="26"/>
      <c r="AU1376" s="26"/>
      <c r="AV1376" s="26"/>
      <c r="AW1376" s="26"/>
      <c r="AX1376" s="26"/>
      <c r="AY1376" s="26"/>
    </row>
    <row r="1377" spans="1:51" ht="12.75" customHeight="1" x14ac:dyDescent="0.25">
      <c r="A1377" s="26"/>
      <c r="B1377" s="66"/>
      <c r="C1377" s="67"/>
      <c r="D1377" s="67"/>
      <c r="E1377" s="26"/>
      <c r="F1377" s="26"/>
      <c r="G1377" s="26"/>
      <c r="H1377" s="26"/>
      <c r="I1377" s="26"/>
      <c r="J1377" s="26"/>
      <c r="K1377" s="26"/>
      <c r="L1377" s="26"/>
      <c r="M1377" s="26"/>
      <c r="N1377" s="26"/>
      <c r="O1377" s="26"/>
      <c r="P1377" s="26"/>
      <c r="Q1377" s="26"/>
      <c r="R1377" s="26"/>
      <c r="S1377" s="26"/>
      <c r="T1377" s="26"/>
      <c r="U1377" s="26"/>
      <c r="V1377" s="26"/>
      <c r="W1377" s="26"/>
      <c r="X1377" s="26"/>
      <c r="Y1377" s="26"/>
      <c r="Z1377" s="26"/>
      <c r="AA1377" s="26"/>
      <c r="AB1377" s="26"/>
      <c r="AC1377" s="26"/>
      <c r="AD1377" s="26"/>
      <c r="AE1377" s="26"/>
      <c r="AF1377" s="26"/>
      <c r="AG1377" s="26"/>
      <c r="AH1377" s="26"/>
      <c r="AI1377" s="26"/>
      <c r="AJ1377" s="26"/>
      <c r="AK1377" s="26"/>
      <c r="AL1377" s="26"/>
      <c r="AM1377" s="26"/>
      <c r="AN1377" s="26"/>
      <c r="AO1377" s="26"/>
      <c r="AP1377" s="26"/>
      <c r="AQ1377" s="26"/>
      <c r="AR1377" s="26"/>
      <c r="AS1377" s="26"/>
      <c r="AT1377" s="26"/>
      <c r="AU1377" s="26"/>
      <c r="AV1377" s="26"/>
      <c r="AW1377" s="26"/>
      <c r="AX1377" s="26"/>
      <c r="AY1377" s="26"/>
    </row>
    <row r="1378" spans="1:51" ht="12.75" customHeight="1" x14ac:dyDescent="0.25">
      <c r="A1378" s="26"/>
      <c r="B1378" s="66"/>
      <c r="C1378" s="67"/>
      <c r="D1378" s="67"/>
      <c r="E1378" s="26"/>
      <c r="F1378" s="26"/>
      <c r="G1378" s="26"/>
      <c r="H1378" s="26"/>
      <c r="I1378" s="26"/>
      <c r="J1378" s="26"/>
      <c r="K1378" s="26"/>
      <c r="L1378" s="26"/>
      <c r="M1378" s="26"/>
      <c r="N1378" s="26"/>
      <c r="O1378" s="26"/>
      <c r="P1378" s="26"/>
      <c r="Q1378" s="26"/>
      <c r="R1378" s="26"/>
      <c r="S1378" s="38"/>
      <c r="T1378" s="26"/>
      <c r="U1378" s="26"/>
      <c r="V1378" s="26"/>
      <c r="W1378" s="26"/>
      <c r="X1378" s="26"/>
      <c r="Y1378" s="26"/>
      <c r="Z1378" s="26"/>
      <c r="AA1378" s="26"/>
      <c r="AB1378" s="26"/>
      <c r="AC1378" s="26"/>
      <c r="AD1378" s="26"/>
      <c r="AE1378" s="26"/>
      <c r="AF1378" s="26"/>
      <c r="AG1378" s="26"/>
      <c r="AH1378" s="26"/>
      <c r="AI1378" s="26"/>
      <c r="AJ1378" s="26"/>
      <c r="AK1378" s="26"/>
      <c r="AL1378" s="26"/>
      <c r="AM1378" s="26"/>
      <c r="AN1378" s="26"/>
      <c r="AO1378" s="26"/>
      <c r="AP1378" s="26"/>
      <c r="AQ1378" s="26"/>
      <c r="AR1378" s="26"/>
      <c r="AS1378" s="26"/>
      <c r="AT1378" s="26"/>
      <c r="AU1378" s="26"/>
      <c r="AV1378" s="26"/>
      <c r="AW1378" s="26"/>
      <c r="AX1378" s="26"/>
      <c r="AY1378" s="26"/>
    </row>
    <row r="1379" spans="1:51" ht="12.75" customHeight="1" x14ac:dyDescent="0.25">
      <c r="A1379" s="26"/>
      <c r="B1379" s="66"/>
      <c r="C1379" s="67"/>
      <c r="D1379" s="67"/>
      <c r="E1379" s="26"/>
      <c r="F1379" s="26"/>
      <c r="G1379" s="26"/>
      <c r="H1379" s="26"/>
      <c r="I1379" s="26"/>
      <c r="J1379" s="26"/>
      <c r="K1379" s="26"/>
      <c r="L1379" s="26"/>
      <c r="M1379" s="26"/>
      <c r="N1379" s="26"/>
      <c r="O1379" s="26"/>
      <c r="P1379" s="26"/>
      <c r="Q1379" s="26"/>
      <c r="R1379" s="26"/>
      <c r="S1379" s="26"/>
      <c r="T1379" s="26"/>
      <c r="U1379" s="26"/>
      <c r="V1379" s="26"/>
      <c r="W1379" s="26"/>
      <c r="X1379" s="26"/>
      <c r="Y1379" s="26"/>
      <c r="Z1379" s="26"/>
      <c r="AA1379" s="26"/>
      <c r="AB1379" s="26"/>
      <c r="AC1379" s="26"/>
      <c r="AD1379" s="26"/>
      <c r="AE1379" s="26"/>
      <c r="AF1379" s="26"/>
      <c r="AG1379" s="26"/>
      <c r="AH1379" s="26"/>
      <c r="AI1379" s="26"/>
      <c r="AJ1379" s="26"/>
      <c r="AK1379" s="26"/>
      <c r="AL1379" s="26"/>
      <c r="AM1379" s="26"/>
      <c r="AN1379" s="26"/>
      <c r="AO1379" s="26"/>
      <c r="AP1379" s="26"/>
      <c r="AQ1379" s="26"/>
      <c r="AR1379" s="26"/>
      <c r="AS1379" s="26"/>
      <c r="AT1379" s="26"/>
      <c r="AU1379" s="26"/>
      <c r="AV1379" s="26"/>
      <c r="AW1379" s="26"/>
      <c r="AX1379" s="26"/>
      <c r="AY1379" s="26"/>
    </row>
    <row r="1380" spans="1:51" ht="12.75" customHeight="1" x14ac:dyDescent="0.25">
      <c r="A1380" s="26"/>
      <c r="B1380" s="66"/>
      <c r="C1380" s="67"/>
      <c r="D1380" s="67"/>
      <c r="E1380" s="26"/>
      <c r="F1380" s="26"/>
      <c r="G1380" s="26"/>
      <c r="H1380" s="26"/>
      <c r="I1380" s="26"/>
      <c r="J1380" s="26"/>
      <c r="K1380" s="26"/>
      <c r="L1380" s="26"/>
      <c r="M1380" s="26"/>
      <c r="N1380" s="26"/>
      <c r="O1380" s="26"/>
      <c r="P1380" s="26"/>
      <c r="Q1380" s="26"/>
      <c r="R1380" s="26"/>
      <c r="S1380" s="26"/>
      <c r="T1380" s="26"/>
      <c r="U1380" s="26"/>
      <c r="V1380" s="26"/>
      <c r="W1380" s="26"/>
      <c r="X1380" s="26"/>
      <c r="Y1380" s="26"/>
      <c r="Z1380" s="26"/>
      <c r="AA1380" s="26"/>
      <c r="AB1380" s="26"/>
      <c r="AC1380" s="26"/>
      <c r="AD1380" s="26"/>
      <c r="AE1380" s="26"/>
      <c r="AF1380" s="26"/>
      <c r="AG1380" s="26"/>
      <c r="AH1380" s="26"/>
      <c r="AI1380" s="26"/>
      <c r="AJ1380" s="26"/>
      <c r="AK1380" s="26"/>
      <c r="AL1380" s="26"/>
      <c r="AM1380" s="26"/>
      <c r="AN1380" s="26"/>
      <c r="AO1380" s="26"/>
      <c r="AP1380" s="26"/>
      <c r="AQ1380" s="26"/>
      <c r="AR1380" s="26"/>
      <c r="AS1380" s="26"/>
      <c r="AT1380" s="26"/>
      <c r="AU1380" s="26"/>
      <c r="AV1380" s="26"/>
      <c r="AW1380" s="26"/>
      <c r="AX1380" s="26"/>
      <c r="AY1380" s="26"/>
    </row>
    <row r="1381" spans="1:51" ht="12.75" customHeight="1" x14ac:dyDescent="0.25">
      <c r="A1381" s="26"/>
      <c r="B1381" s="66"/>
      <c r="C1381" s="67"/>
      <c r="D1381" s="67"/>
      <c r="E1381" s="26"/>
      <c r="F1381" s="26"/>
      <c r="G1381" s="26"/>
      <c r="H1381" s="26"/>
      <c r="I1381" s="26"/>
      <c r="J1381" s="26"/>
      <c r="K1381" s="26"/>
      <c r="L1381" s="26"/>
      <c r="M1381" s="26"/>
      <c r="N1381" s="26"/>
      <c r="O1381" s="26"/>
      <c r="P1381" s="26"/>
      <c r="Q1381" s="26"/>
      <c r="R1381" s="26"/>
      <c r="S1381" s="26"/>
      <c r="T1381" s="26"/>
      <c r="U1381" s="26"/>
      <c r="V1381" s="26"/>
      <c r="W1381" s="26"/>
      <c r="X1381" s="26"/>
      <c r="Y1381" s="26"/>
      <c r="Z1381" s="26"/>
      <c r="AA1381" s="26"/>
      <c r="AB1381" s="26"/>
      <c r="AC1381" s="26"/>
      <c r="AD1381" s="26"/>
      <c r="AE1381" s="26"/>
      <c r="AF1381" s="26"/>
      <c r="AG1381" s="26"/>
      <c r="AH1381" s="26"/>
      <c r="AI1381" s="26"/>
      <c r="AJ1381" s="26"/>
      <c r="AK1381" s="26"/>
      <c r="AL1381" s="26"/>
      <c r="AM1381" s="26"/>
      <c r="AN1381" s="26"/>
      <c r="AO1381" s="26"/>
      <c r="AP1381" s="26"/>
      <c r="AQ1381" s="26"/>
      <c r="AR1381" s="26"/>
      <c r="AS1381" s="26"/>
      <c r="AT1381" s="26"/>
      <c r="AU1381" s="26"/>
      <c r="AV1381" s="26"/>
      <c r="AW1381" s="26"/>
      <c r="AX1381" s="26"/>
      <c r="AY1381" s="26"/>
    </row>
    <row r="1382" spans="1:51" ht="12.75" customHeight="1" x14ac:dyDescent="0.25">
      <c r="A1382" s="26"/>
      <c r="B1382" s="66"/>
      <c r="C1382" s="67"/>
      <c r="D1382" s="67"/>
      <c r="E1382" s="26"/>
      <c r="F1382" s="26"/>
      <c r="G1382" s="26"/>
      <c r="H1382" s="26"/>
      <c r="I1382" s="26"/>
      <c r="J1382" s="26"/>
      <c r="K1382" s="26"/>
      <c r="L1382" s="26"/>
      <c r="M1382" s="26"/>
      <c r="N1382" s="26"/>
      <c r="O1382" s="26"/>
      <c r="P1382" s="26"/>
      <c r="Q1382" s="26"/>
      <c r="R1382" s="26"/>
      <c r="S1382" s="26"/>
      <c r="T1382" s="26"/>
      <c r="U1382" s="26"/>
      <c r="V1382" s="26"/>
      <c r="W1382" s="26"/>
      <c r="X1382" s="26"/>
      <c r="Y1382" s="26"/>
      <c r="Z1382" s="26"/>
      <c r="AA1382" s="26"/>
      <c r="AB1382" s="26"/>
      <c r="AC1382" s="26"/>
      <c r="AD1382" s="26"/>
      <c r="AE1382" s="26"/>
      <c r="AF1382" s="26"/>
      <c r="AG1382" s="26"/>
      <c r="AH1382" s="26"/>
      <c r="AI1382" s="26"/>
      <c r="AJ1382" s="26"/>
      <c r="AK1382" s="26"/>
      <c r="AL1382" s="26"/>
      <c r="AM1382" s="26"/>
      <c r="AN1382" s="26"/>
      <c r="AO1382" s="26"/>
      <c r="AP1382" s="26"/>
      <c r="AQ1382" s="26"/>
      <c r="AR1382" s="26"/>
      <c r="AS1382" s="26"/>
      <c r="AT1382" s="26"/>
      <c r="AU1382" s="26"/>
      <c r="AV1382" s="26"/>
      <c r="AW1382" s="26"/>
      <c r="AX1382" s="26"/>
      <c r="AY1382" s="26"/>
    </row>
    <row r="1383" spans="1:51" ht="12.75" customHeight="1" x14ac:dyDescent="0.25">
      <c r="A1383" s="26"/>
      <c r="B1383" s="66"/>
      <c r="C1383" s="67"/>
      <c r="D1383" s="67"/>
      <c r="E1383" s="26"/>
      <c r="F1383" s="26"/>
      <c r="G1383" s="26"/>
      <c r="H1383" s="26"/>
      <c r="I1383" s="26"/>
      <c r="J1383" s="26"/>
      <c r="K1383" s="26"/>
      <c r="L1383" s="26"/>
      <c r="M1383" s="26"/>
      <c r="N1383" s="26"/>
      <c r="O1383" s="26"/>
      <c r="P1383" s="26"/>
      <c r="Q1383" s="26"/>
      <c r="R1383" s="26"/>
      <c r="S1383" s="26"/>
      <c r="T1383" s="26"/>
      <c r="U1383" s="26"/>
      <c r="V1383" s="26"/>
      <c r="W1383" s="26"/>
      <c r="X1383" s="26"/>
      <c r="Y1383" s="26"/>
      <c r="Z1383" s="26"/>
      <c r="AA1383" s="26"/>
      <c r="AB1383" s="26"/>
      <c r="AC1383" s="26"/>
      <c r="AD1383" s="26"/>
      <c r="AE1383" s="26"/>
      <c r="AF1383" s="26"/>
      <c r="AG1383" s="26"/>
      <c r="AH1383" s="26"/>
      <c r="AI1383" s="26"/>
      <c r="AJ1383" s="26"/>
      <c r="AK1383" s="26"/>
      <c r="AL1383" s="26"/>
      <c r="AM1383" s="26"/>
      <c r="AN1383" s="26"/>
      <c r="AO1383" s="26"/>
      <c r="AP1383" s="26"/>
      <c r="AQ1383" s="26"/>
      <c r="AR1383" s="26"/>
      <c r="AS1383" s="26"/>
      <c r="AT1383" s="26"/>
      <c r="AU1383" s="26"/>
      <c r="AV1383" s="26"/>
      <c r="AW1383" s="26"/>
      <c r="AX1383" s="26"/>
      <c r="AY1383" s="26"/>
    </row>
    <row r="1384" spans="1:51" ht="12.75" customHeight="1" x14ac:dyDescent="0.25">
      <c r="A1384" s="26"/>
      <c r="B1384" s="66"/>
      <c r="C1384" s="67"/>
      <c r="D1384" s="67"/>
      <c r="E1384" s="26"/>
      <c r="F1384" s="26"/>
      <c r="G1384" s="26"/>
      <c r="H1384" s="26"/>
      <c r="I1384" s="26"/>
      <c r="J1384" s="26"/>
      <c r="K1384" s="26"/>
      <c r="L1384" s="26"/>
      <c r="M1384" s="26"/>
      <c r="N1384" s="26"/>
      <c r="O1384" s="26"/>
      <c r="P1384" s="26"/>
      <c r="Q1384" s="26"/>
      <c r="R1384" s="26"/>
      <c r="S1384" s="26"/>
      <c r="T1384" s="26"/>
      <c r="U1384" s="26"/>
      <c r="V1384" s="26"/>
      <c r="W1384" s="26"/>
      <c r="X1384" s="26"/>
      <c r="Y1384" s="26"/>
      <c r="Z1384" s="26"/>
      <c r="AA1384" s="26"/>
      <c r="AB1384" s="26"/>
      <c r="AC1384" s="26"/>
      <c r="AD1384" s="26"/>
      <c r="AE1384" s="26"/>
      <c r="AF1384" s="26"/>
      <c r="AG1384" s="26"/>
      <c r="AH1384" s="26"/>
      <c r="AI1384" s="26"/>
      <c r="AJ1384" s="26"/>
      <c r="AK1384" s="26"/>
      <c r="AL1384" s="26"/>
      <c r="AM1384" s="26"/>
      <c r="AN1384" s="26"/>
      <c r="AO1384" s="26"/>
      <c r="AP1384" s="26"/>
      <c r="AQ1384" s="26"/>
      <c r="AR1384" s="26"/>
      <c r="AS1384" s="26"/>
      <c r="AT1384" s="26"/>
      <c r="AU1384" s="26"/>
      <c r="AV1384" s="26"/>
      <c r="AW1384" s="26"/>
      <c r="AX1384" s="26"/>
      <c r="AY1384" s="26"/>
    </row>
    <row r="1385" spans="1:51" ht="12.75" customHeight="1" x14ac:dyDescent="0.25">
      <c r="A1385" s="26"/>
      <c r="B1385" s="66"/>
      <c r="C1385" s="67"/>
      <c r="D1385" s="67"/>
      <c r="E1385" s="26"/>
      <c r="F1385" s="26"/>
      <c r="G1385" s="26"/>
      <c r="H1385" s="26"/>
      <c r="I1385" s="26"/>
      <c r="J1385" s="26"/>
      <c r="K1385" s="26"/>
      <c r="L1385" s="26"/>
      <c r="M1385" s="26"/>
      <c r="N1385" s="26"/>
      <c r="O1385" s="26"/>
      <c r="P1385" s="26"/>
      <c r="Q1385" s="26"/>
      <c r="R1385" s="26"/>
      <c r="S1385" s="26"/>
      <c r="T1385" s="26"/>
      <c r="U1385" s="26"/>
      <c r="V1385" s="26"/>
      <c r="W1385" s="26"/>
      <c r="X1385" s="26"/>
      <c r="Y1385" s="26"/>
      <c r="Z1385" s="26"/>
      <c r="AA1385" s="26"/>
      <c r="AB1385" s="26"/>
      <c r="AC1385" s="26"/>
      <c r="AD1385" s="26"/>
      <c r="AE1385" s="26"/>
      <c r="AF1385" s="26"/>
      <c r="AG1385" s="26"/>
      <c r="AH1385" s="26"/>
      <c r="AI1385" s="26"/>
      <c r="AJ1385" s="26"/>
      <c r="AK1385" s="26"/>
      <c r="AL1385" s="26"/>
      <c r="AM1385" s="26"/>
      <c r="AN1385" s="26"/>
      <c r="AO1385" s="26"/>
      <c r="AP1385" s="26"/>
      <c r="AQ1385" s="26"/>
      <c r="AR1385" s="26"/>
      <c r="AS1385" s="26"/>
      <c r="AT1385" s="26"/>
      <c r="AU1385" s="26"/>
      <c r="AV1385" s="26"/>
      <c r="AW1385" s="26"/>
      <c r="AX1385" s="26"/>
      <c r="AY1385" s="26"/>
    </row>
    <row r="1386" spans="1:51" ht="12.75" customHeight="1" x14ac:dyDescent="0.25">
      <c r="A1386" s="26"/>
      <c r="B1386" s="66"/>
      <c r="C1386" s="67"/>
      <c r="D1386" s="67"/>
      <c r="E1386" s="26"/>
      <c r="F1386" s="26"/>
      <c r="G1386" s="26"/>
      <c r="H1386" s="26"/>
      <c r="I1386" s="26"/>
      <c r="J1386" s="26"/>
      <c r="K1386" s="26"/>
      <c r="L1386" s="26"/>
      <c r="M1386" s="26"/>
      <c r="N1386" s="26"/>
      <c r="O1386" s="26"/>
      <c r="P1386" s="26"/>
      <c r="Q1386" s="26"/>
      <c r="R1386" s="26"/>
      <c r="S1386" s="26"/>
      <c r="T1386" s="26"/>
      <c r="U1386" s="26"/>
      <c r="V1386" s="26"/>
      <c r="W1386" s="26"/>
      <c r="X1386" s="26"/>
      <c r="Y1386" s="26"/>
      <c r="Z1386" s="26"/>
      <c r="AA1386" s="26"/>
      <c r="AB1386" s="26"/>
      <c r="AC1386" s="26"/>
      <c r="AD1386" s="26"/>
      <c r="AE1386" s="26"/>
      <c r="AF1386" s="26"/>
      <c r="AG1386" s="26"/>
      <c r="AH1386" s="26"/>
      <c r="AI1386" s="26"/>
      <c r="AJ1386" s="26"/>
      <c r="AK1386" s="26"/>
      <c r="AL1386" s="26"/>
      <c r="AM1386" s="26"/>
      <c r="AN1386" s="26"/>
      <c r="AO1386" s="26"/>
      <c r="AP1386" s="26"/>
      <c r="AQ1386" s="26"/>
      <c r="AR1386" s="26"/>
      <c r="AS1386" s="26"/>
      <c r="AT1386" s="26"/>
      <c r="AU1386" s="26"/>
      <c r="AV1386" s="26"/>
      <c r="AW1386" s="26"/>
      <c r="AX1386" s="26"/>
      <c r="AY1386" s="26"/>
    </row>
    <row r="1387" spans="1:51" ht="12.75" customHeight="1" x14ac:dyDescent="0.25">
      <c r="A1387" s="26"/>
      <c r="B1387" s="66"/>
      <c r="C1387" s="67"/>
      <c r="D1387" s="67"/>
      <c r="E1387" s="26"/>
      <c r="F1387" s="26"/>
      <c r="G1387" s="26"/>
      <c r="H1387" s="26"/>
      <c r="I1387" s="26"/>
      <c r="J1387" s="26"/>
      <c r="K1387" s="26"/>
      <c r="L1387" s="26"/>
      <c r="M1387" s="26"/>
      <c r="N1387" s="26"/>
      <c r="O1387" s="26"/>
      <c r="P1387" s="26"/>
      <c r="Q1387" s="26"/>
      <c r="R1387" s="26"/>
      <c r="S1387" s="26"/>
      <c r="T1387" s="26"/>
      <c r="U1387" s="26"/>
      <c r="V1387" s="26"/>
      <c r="W1387" s="26"/>
      <c r="X1387" s="26"/>
      <c r="Y1387" s="26"/>
      <c r="Z1387" s="26"/>
      <c r="AA1387" s="26"/>
      <c r="AB1387" s="26"/>
      <c r="AC1387" s="26"/>
      <c r="AD1387" s="26"/>
      <c r="AE1387" s="26"/>
      <c r="AF1387" s="26"/>
      <c r="AG1387" s="26"/>
      <c r="AH1387" s="26"/>
      <c r="AI1387" s="26"/>
      <c r="AJ1387" s="26"/>
      <c r="AK1387" s="26"/>
      <c r="AL1387" s="26"/>
      <c r="AM1387" s="26"/>
      <c r="AN1387" s="26"/>
      <c r="AO1387" s="26"/>
      <c r="AP1387" s="26"/>
      <c r="AQ1387" s="26"/>
      <c r="AR1387" s="26"/>
      <c r="AS1387" s="26"/>
      <c r="AT1387" s="26"/>
      <c r="AU1387" s="26"/>
      <c r="AV1387" s="26"/>
      <c r="AW1387" s="26"/>
      <c r="AX1387" s="26"/>
      <c r="AY1387" s="26"/>
    </row>
    <row r="1388" spans="1:51" ht="12.75" customHeight="1" x14ac:dyDescent="0.25">
      <c r="A1388" s="26"/>
      <c r="B1388" s="66"/>
      <c r="C1388" s="67"/>
      <c r="D1388" s="67"/>
      <c r="E1388" s="26"/>
      <c r="F1388" s="26"/>
      <c r="G1388" s="26"/>
      <c r="H1388" s="26"/>
      <c r="I1388" s="26"/>
      <c r="J1388" s="26"/>
      <c r="K1388" s="26"/>
      <c r="L1388" s="26"/>
      <c r="M1388" s="26"/>
      <c r="N1388" s="26"/>
      <c r="O1388" s="26"/>
      <c r="P1388" s="26"/>
      <c r="Q1388" s="26"/>
      <c r="R1388" s="26"/>
      <c r="S1388" s="26"/>
      <c r="T1388" s="26"/>
      <c r="U1388" s="26"/>
      <c r="V1388" s="26"/>
      <c r="W1388" s="26"/>
      <c r="X1388" s="26"/>
      <c r="Y1388" s="26"/>
      <c r="Z1388" s="26"/>
      <c r="AA1388" s="26"/>
      <c r="AB1388" s="26"/>
      <c r="AC1388" s="26"/>
      <c r="AD1388" s="26"/>
      <c r="AE1388" s="26"/>
      <c r="AF1388" s="26"/>
      <c r="AG1388" s="26"/>
      <c r="AH1388" s="26"/>
      <c r="AI1388" s="26"/>
      <c r="AJ1388" s="26"/>
      <c r="AK1388" s="26"/>
      <c r="AL1388" s="26"/>
      <c r="AM1388" s="26"/>
      <c r="AN1388" s="26"/>
      <c r="AO1388" s="26"/>
      <c r="AP1388" s="26"/>
      <c r="AQ1388" s="26"/>
      <c r="AR1388" s="26"/>
      <c r="AS1388" s="26"/>
      <c r="AT1388" s="26"/>
      <c r="AU1388" s="26"/>
      <c r="AV1388" s="26"/>
      <c r="AW1388" s="26"/>
      <c r="AX1388" s="26"/>
      <c r="AY1388" s="26"/>
    </row>
    <row r="1389" spans="1:51" ht="12.75" customHeight="1" x14ac:dyDescent="0.25">
      <c r="A1389" s="26"/>
      <c r="B1389" s="66"/>
      <c r="C1389" s="67"/>
      <c r="D1389" s="67"/>
      <c r="E1389" s="26"/>
      <c r="F1389" s="26"/>
      <c r="G1389" s="26"/>
      <c r="H1389" s="26"/>
      <c r="I1389" s="26"/>
      <c r="J1389" s="26"/>
      <c r="K1389" s="26"/>
      <c r="L1389" s="26"/>
      <c r="M1389" s="26"/>
      <c r="N1389" s="26"/>
      <c r="O1389" s="26"/>
      <c r="P1389" s="26"/>
      <c r="Q1389" s="26"/>
      <c r="R1389" s="26"/>
      <c r="S1389" s="26"/>
      <c r="T1389" s="26"/>
      <c r="U1389" s="26"/>
      <c r="V1389" s="26"/>
      <c r="W1389" s="26"/>
      <c r="X1389" s="26"/>
      <c r="Y1389" s="26"/>
      <c r="Z1389" s="26"/>
      <c r="AA1389" s="26"/>
      <c r="AB1389" s="26"/>
      <c r="AC1389" s="26"/>
      <c r="AD1389" s="26"/>
      <c r="AE1389" s="26"/>
      <c r="AF1389" s="26"/>
      <c r="AG1389" s="26"/>
      <c r="AH1389" s="26"/>
      <c r="AI1389" s="26"/>
      <c r="AJ1389" s="26"/>
      <c r="AK1389" s="26"/>
      <c r="AL1389" s="26"/>
      <c r="AM1389" s="26"/>
      <c r="AN1389" s="26"/>
      <c r="AO1389" s="26"/>
      <c r="AP1389" s="26"/>
      <c r="AQ1389" s="26"/>
      <c r="AR1389" s="26"/>
      <c r="AS1389" s="26"/>
      <c r="AT1389" s="26"/>
      <c r="AU1389" s="26"/>
      <c r="AV1389" s="26"/>
      <c r="AW1389" s="26"/>
      <c r="AX1389" s="26"/>
      <c r="AY1389" s="26"/>
    </row>
    <row r="1390" spans="1:51" ht="12.75" customHeight="1" x14ac:dyDescent="0.25">
      <c r="A1390" s="26"/>
      <c r="B1390" s="66"/>
      <c r="C1390" s="67"/>
      <c r="D1390" s="67"/>
      <c r="E1390" s="26"/>
      <c r="F1390" s="26"/>
      <c r="G1390" s="26"/>
      <c r="H1390" s="26"/>
      <c r="I1390" s="26"/>
      <c r="J1390" s="26"/>
      <c r="K1390" s="26"/>
      <c r="L1390" s="26"/>
      <c r="M1390" s="26"/>
      <c r="N1390" s="26"/>
      <c r="O1390" s="26"/>
      <c r="P1390" s="26"/>
      <c r="Q1390" s="26"/>
      <c r="R1390" s="26"/>
      <c r="S1390" s="26"/>
      <c r="T1390" s="26"/>
      <c r="U1390" s="26"/>
      <c r="V1390" s="26"/>
      <c r="W1390" s="26"/>
      <c r="X1390" s="26"/>
      <c r="Y1390" s="26"/>
      <c r="Z1390" s="26"/>
      <c r="AA1390" s="26"/>
      <c r="AB1390" s="26"/>
      <c r="AC1390" s="26"/>
      <c r="AD1390" s="26"/>
      <c r="AE1390" s="26"/>
      <c r="AF1390" s="26"/>
      <c r="AG1390" s="26"/>
      <c r="AH1390" s="26"/>
      <c r="AI1390" s="26"/>
      <c r="AJ1390" s="26"/>
      <c r="AK1390" s="26"/>
      <c r="AL1390" s="26"/>
      <c r="AM1390" s="26"/>
      <c r="AN1390" s="26"/>
      <c r="AO1390" s="26"/>
      <c r="AP1390" s="26"/>
      <c r="AQ1390" s="26"/>
      <c r="AR1390" s="26"/>
      <c r="AS1390" s="26"/>
      <c r="AT1390" s="26"/>
      <c r="AU1390" s="26"/>
      <c r="AV1390" s="26"/>
      <c r="AW1390" s="26"/>
      <c r="AX1390" s="26"/>
      <c r="AY1390" s="26"/>
    </row>
    <row r="1391" spans="1:51" ht="12.75" customHeight="1" x14ac:dyDescent="0.25">
      <c r="A1391" s="26"/>
      <c r="B1391" s="66"/>
      <c r="C1391" s="67"/>
      <c r="D1391" s="67"/>
      <c r="E1391" s="26"/>
      <c r="F1391" s="26"/>
      <c r="G1391" s="26"/>
      <c r="H1391" s="26"/>
      <c r="I1391" s="26"/>
      <c r="J1391" s="26"/>
      <c r="K1391" s="26"/>
      <c r="L1391" s="26"/>
      <c r="M1391" s="26"/>
      <c r="N1391" s="26"/>
      <c r="O1391" s="26"/>
      <c r="P1391" s="26"/>
      <c r="Q1391" s="26"/>
      <c r="R1391" s="26"/>
      <c r="S1391" s="26"/>
      <c r="T1391" s="26"/>
      <c r="U1391" s="26"/>
      <c r="V1391" s="26"/>
      <c r="W1391" s="26"/>
      <c r="X1391" s="26"/>
      <c r="Y1391" s="26"/>
      <c r="Z1391" s="26"/>
      <c r="AA1391" s="26"/>
      <c r="AB1391" s="26"/>
      <c r="AC1391" s="26"/>
      <c r="AD1391" s="26"/>
      <c r="AE1391" s="26"/>
      <c r="AF1391" s="26"/>
      <c r="AG1391" s="26"/>
      <c r="AH1391" s="26"/>
      <c r="AI1391" s="26"/>
      <c r="AJ1391" s="26"/>
      <c r="AK1391" s="26"/>
      <c r="AL1391" s="26"/>
      <c r="AM1391" s="26"/>
      <c r="AN1391" s="26"/>
      <c r="AO1391" s="26"/>
      <c r="AP1391" s="26"/>
      <c r="AQ1391" s="26"/>
      <c r="AR1391" s="26"/>
      <c r="AS1391" s="26"/>
      <c r="AT1391" s="26"/>
      <c r="AU1391" s="26"/>
      <c r="AV1391" s="26"/>
      <c r="AW1391" s="26"/>
      <c r="AX1391" s="26"/>
      <c r="AY1391" s="26"/>
    </row>
    <row r="1392" spans="1:51" ht="12.75" customHeight="1" x14ac:dyDescent="0.25">
      <c r="A1392" s="26"/>
      <c r="B1392" s="66"/>
      <c r="C1392" s="67"/>
      <c r="D1392" s="67"/>
      <c r="E1392" s="26"/>
      <c r="F1392" s="26"/>
      <c r="G1392" s="26"/>
      <c r="H1392" s="26"/>
      <c r="I1392" s="26"/>
      <c r="J1392" s="26"/>
      <c r="K1392" s="26"/>
      <c r="L1392" s="26"/>
      <c r="M1392" s="26"/>
      <c r="N1392" s="26"/>
      <c r="O1392" s="26"/>
      <c r="P1392" s="26"/>
      <c r="Q1392" s="26"/>
      <c r="R1392" s="26"/>
      <c r="S1392" s="26"/>
      <c r="T1392" s="26"/>
      <c r="U1392" s="26"/>
      <c r="V1392" s="26"/>
      <c r="W1392" s="26"/>
      <c r="X1392" s="26"/>
      <c r="Y1392" s="26"/>
      <c r="Z1392" s="26"/>
      <c r="AA1392" s="26"/>
      <c r="AB1392" s="26"/>
      <c r="AC1392" s="26"/>
      <c r="AD1392" s="26"/>
      <c r="AE1392" s="26"/>
      <c r="AF1392" s="26"/>
      <c r="AG1392" s="26"/>
      <c r="AH1392" s="26"/>
      <c r="AI1392" s="26"/>
      <c r="AJ1392" s="26"/>
      <c r="AK1392" s="26"/>
      <c r="AL1392" s="26"/>
      <c r="AM1392" s="26"/>
      <c r="AN1392" s="26"/>
      <c r="AO1392" s="26"/>
      <c r="AP1392" s="26"/>
      <c r="AQ1392" s="26"/>
      <c r="AR1392" s="26"/>
      <c r="AS1392" s="26"/>
      <c r="AT1392" s="26"/>
      <c r="AU1392" s="26"/>
      <c r="AV1392" s="26"/>
      <c r="AW1392" s="26"/>
      <c r="AX1392" s="26"/>
      <c r="AY1392" s="26"/>
    </row>
    <row r="1393" spans="1:51" ht="12.75" customHeight="1" x14ac:dyDescent="0.25">
      <c r="A1393" s="26"/>
      <c r="B1393" s="66"/>
      <c r="C1393" s="67"/>
      <c r="D1393" s="67"/>
      <c r="E1393" s="26"/>
      <c r="F1393" s="26"/>
      <c r="G1393" s="26"/>
      <c r="H1393" s="26"/>
      <c r="I1393" s="26"/>
      <c r="J1393" s="26"/>
      <c r="K1393" s="26"/>
      <c r="L1393" s="26"/>
      <c r="M1393" s="26"/>
      <c r="N1393" s="26"/>
      <c r="O1393" s="26"/>
      <c r="P1393" s="26"/>
      <c r="Q1393" s="26"/>
      <c r="R1393" s="26"/>
      <c r="S1393" s="26"/>
      <c r="T1393" s="26"/>
      <c r="U1393" s="26"/>
      <c r="V1393" s="26"/>
      <c r="W1393" s="26"/>
      <c r="X1393" s="26"/>
      <c r="Y1393" s="26"/>
      <c r="Z1393" s="26"/>
      <c r="AA1393" s="26"/>
      <c r="AB1393" s="26"/>
      <c r="AC1393" s="26"/>
      <c r="AD1393" s="26"/>
      <c r="AE1393" s="26"/>
      <c r="AF1393" s="26"/>
      <c r="AG1393" s="26"/>
      <c r="AH1393" s="26"/>
      <c r="AI1393" s="26"/>
      <c r="AJ1393" s="26"/>
      <c r="AK1393" s="26"/>
      <c r="AL1393" s="26"/>
      <c r="AM1393" s="26"/>
      <c r="AN1393" s="26"/>
      <c r="AO1393" s="26"/>
      <c r="AP1393" s="26"/>
      <c r="AQ1393" s="26"/>
      <c r="AR1393" s="26"/>
      <c r="AS1393" s="26"/>
      <c r="AT1393" s="26"/>
      <c r="AU1393" s="26"/>
      <c r="AV1393" s="26"/>
      <c r="AW1393" s="26"/>
      <c r="AX1393" s="26"/>
      <c r="AY1393" s="26"/>
    </row>
    <row r="1394" spans="1:51" ht="12.75" customHeight="1" x14ac:dyDescent="0.25">
      <c r="A1394" s="26"/>
      <c r="B1394" s="66"/>
      <c r="C1394" s="67"/>
      <c r="D1394" s="67"/>
      <c r="E1394" s="26"/>
      <c r="F1394" s="26"/>
      <c r="G1394" s="26"/>
      <c r="H1394" s="26"/>
      <c r="I1394" s="26"/>
      <c r="J1394" s="26"/>
      <c r="K1394" s="26"/>
      <c r="L1394" s="26"/>
      <c r="M1394" s="26"/>
      <c r="N1394" s="26"/>
      <c r="O1394" s="26"/>
      <c r="P1394" s="26"/>
      <c r="Q1394" s="26"/>
      <c r="R1394" s="26"/>
      <c r="S1394" s="26"/>
      <c r="T1394" s="26"/>
      <c r="U1394" s="26"/>
      <c r="V1394" s="26"/>
      <c r="W1394" s="26"/>
      <c r="X1394" s="26"/>
      <c r="Y1394" s="26"/>
      <c r="Z1394" s="26"/>
      <c r="AA1394" s="26"/>
      <c r="AB1394" s="26"/>
      <c r="AC1394" s="26"/>
      <c r="AD1394" s="26"/>
      <c r="AE1394" s="26"/>
      <c r="AF1394" s="26"/>
      <c r="AG1394" s="26"/>
      <c r="AH1394" s="26"/>
      <c r="AI1394" s="26"/>
      <c r="AJ1394" s="26"/>
      <c r="AK1394" s="26"/>
      <c r="AL1394" s="26"/>
      <c r="AM1394" s="26"/>
      <c r="AN1394" s="26"/>
      <c r="AO1394" s="26"/>
      <c r="AP1394" s="26"/>
      <c r="AQ1394" s="26"/>
      <c r="AR1394" s="26"/>
      <c r="AS1394" s="26"/>
      <c r="AT1394" s="26"/>
      <c r="AU1394" s="26"/>
      <c r="AV1394" s="26"/>
      <c r="AW1394" s="26"/>
      <c r="AX1394" s="26"/>
      <c r="AY1394" s="26"/>
    </row>
    <row r="1395" spans="1:51" ht="12.75" customHeight="1" x14ac:dyDescent="0.25">
      <c r="A1395" s="26"/>
      <c r="B1395" s="66"/>
      <c r="C1395" s="67"/>
      <c r="D1395" s="67"/>
      <c r="E1395" s="26"/>
      <c r="F1395" s="26"/>
      <c r="G1395" s="26"/>
      <c r="H1395" s="26"/>
      <c r="I1395" s="26"/>
      <c r="J1395" s="26"/>
      <c r="K1395" s="26"/>
      <c r="L1395" s="26"/>
      <c r="M1395" s="26"/>
      <c r="N1395" s="26"/>
      <c r="O1395" s="26"/>
      <c r="P1395" s="26"/>
      <c r="Q1395" s="26"/>
      <c r="R1395" s="26"/>
      <c r="S1395" s="26"/>
      <c r="T1395" s="26"/>
      <c r="U1395" s="26"/>
      <c r="V1395" s="26"/>
      <c r="W1395" s="26"/>
      <c r="X1395" s="26"/>
      <c r="Y1395" s="26"/>
      <c r="Z1395" s="26"/>
      <c r="AA1395" s="26"/>
      <c r="AB1395" s="26"/>
      <c r="AC1395" s="26"/>
      <c r="AD1395" s="26"/>
      <c r="AE1395" s="26"/>
      <c r="AF1395" s="26"/>
      <c r="AG1395" s="26"/>
      <c r="AH1395" s="26"/>
      <c r="AI1395" s="26"/>
      <c r="AJ1395" s="26"/>
      <c r="AK1395" s="26"/>
      <c r="AL1395" s="26"/>
      <c r="AM1395" s="26"/>
      <c r="AN1395" s="26"/>
      <c r="AO1395" s="26"/>
      <c r="AP1395" s="26"/>
      <c r="AQ1395" s="26"/>
      <c r="AR1395" s="26"/>
      <c r="AS1395" s="26"/>
      <c r="AT1395" s="26"/>
      <c r="AU1395" s="26"/>
      <c r="AV1395" s="26"/>
      <c r="AW1395" s="26"/>
      <c r="AX1395" s="26"/>
      <c r="AY1395" s="26"/>
    </row>
    <row r="1396" spans="1:51" ht="12.75" customHeight="1" x14ac:dyDescent="0.25">
      <c r="A1396" s="26"/>
      <c r="B1396" s="66"/>
      <c r="C1396" s="67"/>
      <c r="D1396" s="67"/>
      <c r="E1396" s="26"/>
      <c r="F1396" s="26"/>
      <c r="G1396" s="26"/>
      <c r="H1396" s="26"/>
      <c r="I1396" s="26"/>
      <c r="J1396" s="26"/>
      <c r="K1396" s="26"/>
      <c r="L1396" s="26"/>
      <c r="M1396" s="26"/>
      <c r="N1396" s="26"/>
      <c r="O1396" s="26"/>
      <c r="P1396" s="26"/>
      <c r="Q1396" s="26"/>
      <c r="R1396" s="26"/>
      <c r="S1396" s="26"/>
      <c r="T1396" s="26"/>
      <c r="U1396" s="26"/>
      <c r="V1396" s="26"/>
      <c r="W1396" s="26"/>
      <c r="X1396" s="26"/>
      <c r="Y1396" s="26"/>
      <c r="Z1396" s="26"/>
      <c r="AA1396" s="26"/>
      <c r="AB1396" s="26"/>
      <c r="AC1396" s="26"/>
      <c r="AD1396" s="26"/>
      <c r="AE1396" s="26"/>
      <c r="AF1396" s="26"/>
      <c r="AG1396" s="26"/>
      <c r="AH1396" s="26"/>
      <c r="AI1396" s="26"/>
      <c r="AJ1396" s="26"/>
      <c r="AK1396" s="26"/>
      <c r="AL1396" s="26"/>
      <c r="AM1396" s="26"/>
      <c r="AN1396" s="26"/>
      <c r="AO1396" s="26"/>
      <c r="AP1396" s="26"/>
      <c r="AQ1396" s="26"/>
      <c r="AR1396" s="26"/>
      <c r="AS1396" s="26"/>
      <c r="AT1396" s="26"/>
      <c r="AU1396" s="26"/>
      <c r="AV1396" s="26"/>
      <c r="AW1396" s="26"/>
      <c r="AX1396" s="26"/>
      <c r="AY1396" s="26"/>
    </row>
    <row r="1397" spans="1:51" ht="12.75" customHeight="1" x14ac:dyDescent="0.25">
      <c r="A1397" s="26"/>
      <c r="B1397" s="66"/>
      <c r="C1397" s="67"/>
      <c r="D1397" s="67"/>
      <c r="E1397" s="26"/>
      <c r="F1397" s="26"/>
      <c r="G1397" s="26"/>
      <c r="H1397" s="26"/>
      <c r="I1397" s="26"/>
      <c r="J1397" s="26"/>
      <c r="K1397" s="26"/>
      <c r="L1397" s="26"/>
      <c r="M1397" s="26"/>
      <c r="N1397" s="26"/>
      <c r="O1397" s="26"/>
      <c r="P1397" s="26"/>
      <c r="Q1397" s="26"/>
      <c r="R1397" s="26"/>
      <c r="S1397" s="26"/>
      <c r="T1397" s="26"/>
      <c r="U1397" s="26"/>
      <c r="V1397" s="26"/>
      <c r="W1397" s="26"/>
      <c r="X1397" s="26"/>
      <c r="Y1397" s="26"/>
      <c r="Z1397" s="26"/>
      <c r="AA1397" s="26"/>
      <c r="AB1397" s="26"/>
      <c r="AC1397" s="26"/>
      <c r="AD1397" s="26"/>
      <c r="AE1397" s="26"/>
      <c r="AF1397" s="26"/>
      <c r="AG1397" s="26"/>
      <c r="AH1397" s="26"/>
      <c r="AI1397" s="26"/>
      <c r="AJ1397" s="26"/>
      <c r="AK1397" s="26"/>
      <c r="AL1397" s="26"/>
      <c r="AM1397" s="26"/>
      <c r="AN1397" s="26"/>
      <c r="AO1397" s="26"/>
      <c r="AP1397" s="26"/>
      <c r="AQ1397" s="26"/>
      <c r="AR1397" s="26"/>
      <c r="AS1397" s="26"/>
      <c r="AT1397" s="26"/>
      <c r="AU1397" s="26"/>
      <c r="AV1397" s="26"/>
      <c r="AW1397" s="26"/>
      <c r="AX1397" s="26"/>
      <c r="AY1397" s="26"/>
    </row>
    <row r="1398" spans="1:51" ht="12.75" customHeight="1" x14ac:dyDescent="0.25">
      <c r="A1398" s="26"/>
      <c r="B1398" s="66"/>
      <c r="C1398" s="67"/>
      <c r="D1398" s="67"/>
      <c r="E1398" s="26"/>
      <c r="F1398" s="26"/>
      <c r="G1398" s="26"/>
      <c r="H1398" s="26"/>
      <c r="I1398" s="26"/>
      <c r="J1398" s="26"/>
      <c r="K1398" s="26"/>
      <c r="L1398" s="26"/>
      <c r="M1398" s="26"/>
      <c r="N1398" s="26"/>
      <c r="O1398" s="26"/>
      <c r="P1398" s="26"/>
      <c r="Q1398" s="26"/>
      <c r="R1398" s="26"/>
      <c r="S1398" s="26"/>
      <c r="T1398" s="26"/>
      <c r="U1398" s="26"/>
      <c r="V1398" s="26"/>
      <c r="W1398" s="26"/>
      <c r="X1398" s="26"/>
      <c r="Y1398" s="26"/>
      <c r="Z1398" s="26"/>
      <c r="AA1398" s="26"/>
      <c r="AB1398" s="26"/>
      <c r="AC1398" s="26"/>
      <c r="AD1398" s="26"/>
      <c r="AE1398" s="26"/>
      <c r="AF1398" s="26"/>
      <c r="AG1398" s="26"/>
      <c r="AH1398" s="26"/>
      <c r="AI1398" s="26"/>
      <c r="AJ1398" s="26"/>
      <c r="AK1398" s="26"/>
      <c r="AL1398" s="26"/>
      <c r="AM1398" s="26"/>
      <c r="AN1398" s="26"/>
      <c r="AO1398" s="26"/>
      <c r="AP1398" s="26"/>
      <c r="AQ1398" s="26"/>
      <c r="AR1398" s="26"/>
      <c r="AS1398" s="26"/>
      <c r="AT1398" s="26"/>
      <c r="AU1398" s="26"/>
      <c r="AV1398" s="26"/>
      <c r="AW1398" s="26"/>
      <c r="AX1398" s="26"/>
      <c r="AY1398" s="26"/>
    </row>
    <row r="1399" spans="1:51" ht="12.75" customHeight="1" x14ac:dyDescent="0.25">
      <c r="A1399" s="26"/>
      <c r="B1399" s="66"/>
      <c r="C1399" s="67"/>
      <c r="D1399" s="67"/>
      <c r="E1399" s="26"/>
      <c r="F1399" s="26"/>
      <c r="G1399" s="26"/>
      <c r="H1399" s="26"/>
      <c r="I1399" s="26"/>
      <c r="J1399" s="26"/>
      <c r="K1399" s="26"/>
      <c r="L1399" s="26"/>
      <c r="M1399" s="26"/>
      <c r="N1399" s="26"/>
      <c r="O1399" s="26"/>
      <c r="P1399" s="26"/>
      <c r="Q1399" s="26"/>
      <c r="R1399" s="26"/>
      <c r="S1399" s="26"/>
      <c r="T1399" s="26"/>
      <c r="U1399" s="26"/>
      <c r="V1399" s="26"/>
      <c r="W1399" s="26"/>
      <c r="X1399" s="26"/>
      <c r="Y1399" s="26"/>
      <c r="Z1399" s="26"/>
      <c r="AA1399" s="26"/>
      <c r="AB1399" s="26"/>
      <c r="AC1399" s="26"/>
      <c r="AD1399" s="26"/>
      <c r="AE1399" s="26"/>
      <c r="AF1399" s="26"/>
      <c r="AG1399" s="26"/>
      <c r="AH1399" s="26"/>
      <c r="AI1399" s="26"/>
      <c r="AJ1399" s="26"/>
      <c r="AK1399" s="26"/>
      <c r="AL1399" s="26"/>
      <c r="AM1399" s="26"/>
      <c r="AN1399" s="26"/>
      <c r="AO1399" s="26"/>
      <c r="AP1399" s="26"/>
      <c r="AQ1399" s="26"/>
      <c r="AR1399" s="26"/>
      <c r="AS1399" s="26"/>
      <c r="AT1399" s="26"/>
      <c r="AU1399" s="26"/>
      <c r="AV1399" s="26"/>
      <c r="AW1399" s="26"/>
      <c r="AX1399" s="26"/>
      <c r="AY1399" s="26"/>
    </row>
    <row r="1400" spans="1:51" ht="12.75" customHeight="1" x14ac:dyDescent="0.25">
      <c r="A1400" s="26"/>
      <c r="B1400" s="66"/>
      <c r="C1400" s="67"/>
      <c r="D1400" s="67"/>
      <c r="E1400" s="26"/>
      <c r="F1400" s="26"/>
      <c r="G1400" s="26"/>
      <c r="H1400" s="26"/>
      <c r="I1400" s="26"/>
      <c r="J1400" s="26"/>
      <c r="K1400" s="26"/>
      <c r="L1400" s="26"/>
      <c r="M1400" s="26"/>
      <c r="N1400" s="26"/>
      <c r="O1400" s="26"/>
      <c r="P1400" s="26"/>
      <c r="Q1400" s="26"/>
      <c r="R1400" s="26"/>
      <c r="S1400" s="26"/>
      <c r="T1400" s="26"/>
      <c r="U1400" s="26"/>
      <c r="V1400" s="26"/>
      <c r="W1400" s="26"/>
      <c r="X1400" s="26"/>
      <c r="Y1400" s="26"/>
      <c r="Z1400" s="26"/>
      <c r="AA1400" s="26"/>
      <c r="AB1400" s="26"/>
      <c r="AC1400" s="26"/>
      <c r="AD1400" s="26"/>
      <c r="AE1400" s="26"/>
      <c r="AF1400" s="26"/>
      <c r="AG1400" s="26"/>
      <c r="AH1400" s="26"/>
      <c r="AI1400" s="26"/>
      <c r="AJ1400" s="26"/>
      <c r="AK1400" s="26"/>
      <c r="AL1400" s="26"/>
      <c r="AM1400" s="26"/>
      <c r="AN1400" s="26"/>
      <c r="AO1400" s="26"/>
      <c r="AP1400" s="26"/>
      <c r="AQ1400" s="26"/>
      <c r="AR1400" s="26"/>
      <c r="AS1400" s="26"/>
      <c r="AT1400" s="26"/>
      <c r="AU1400" s="26"/>
      <c r="AV1400" s="26"/>
      <c r="AW1400" s="26"/>
      <c r="AX1400" s="26"/>
      <c r="AY1400" s="26"/>
    </row>
    <row r="1401" spans="1:51" ht="12.75" customHeight="1" x14ac:dyDescent="0.25">
      <c r="A1401" s="26"/>
      <c r="B1401" s="66"/>
      <c r="C1401" s="67"/>
      <c r="D1401" s="67"/>
      <c r="E1401" s="26"/>
      <c r="F1401" s="26"/>
      <c r="G1401" s="26"/>
      <c r="H1401" s="26"/>
      <c r="I1401" s="26"/>
      <c r="J1401" s="26"/>
      <c r="K1401" s="26"/>
      <c r="L1401" s="26"/>
      <c r="M1401" s="26"/>
      <c r="N1401" s="26"/>
      <c r="O1401" s="26"/>
      <c r="P1401" s="26"/>
      <c r="Q1401" s="26"/>
      <c r="R1401" s="26"/>
      <c r="S1401" s="26"/>
      <c r="T1401" s="26"/>
      <c r="U1401" s="26"/>
      <c r="V1401" s="26"/>
      <c r="W1401" s="26"/>
      <c r="X1401" s="26"/>
      <c r="Y1401" s="26"/>
      <c r="Z1401" s="26"/>
      <c r="AA1401" s="26"/>
      <c r="AB1401" s="26"/>
      <c r="AC1401" s="26"/>
      <c r="AD1401" s="26"/>
      <c r="AE1401" s="26"/>
      <c r="AF1401" s="26"/>
      <c r="AG1401" s="26"/>
      <c r="AH1401" s="26"/>
      <c r="AI1401" s="26"/>
      <c r="AJ1401" s="26"/>
      <c r="AK1401" s="26"/>
      <c r="AL1401" s="26"/>
      <c r="AM1401" s="26"/>
      <c r="AN1401" s="26"/>
      <c r="AO1401" s="26"/>
      <c r="AP1401" s="26"/>
      <c r="AQ1401" s="26"/>
      <c r="AR1401" s="26"/>
      <c r="AS1401" s="26"/>
      <c r="AT1401" s="26"/>
      <c r="AU1401" s="26"/>
      <c r="AV1401" s="26"/>
      <c r="AW1401" s="26"/>
      <c r="AX1401" s="26"/>
      <c r="AY1401" s="26"/>
    </row>
    <row r="1402" spans="1:51" ht="12.75" customHeight="1" x14ac:dyDescent="0.25">
      <c r="A1402" s="26"/>
      <c r="B1402" s="66"/>
      <c r="C1402" s="67"/>
      <c r="D1402" s="67"/>
      <c r="E1402" s="26"/>
      <c r="F1402" s="26"/>
      <c r="G1402" s="26"/>
      <c r="H1402" s="26"/>
      <c r="I1402" s="26"/>
      <c r="J1402" s="26"/>
      <c r="K1402" s="26"/>
      <c r="L1402" s="26"/>
      <c r="M1402" s="26"/>
      <c r="N1402" s="26"/>
      <c r="O1402" s="26"/>
      <c r="P1402" s="26"/>
      <c r="Q1402" s="26"/>
      <c r="R1402" s="26"/>
      <c r="S1402" s="26"/>
      <c r="T1402" s="26"/>
      <c r="U1402" s="26"/>
      <c r="V1402" s="26"/>
      <c r="W1402" s="26"/>
      <c r="X1402" s="26"/>
      <c r="Y1402" s="26"/>
      <c r="Z1402" s="26"/>
      <c r="AA1402" s="26"/>
      <c r="AB1402" s="26"/>
      <c r="AC1402" s="26"/>
      <c r="AD1402" s="26"/>
      <c r="AE1402" s="26"/>
      <c r="AF1402" s="26"/>
      <c r="AG1402" s="26"/>
      <c r="AH1402" s="26"/>
      <c r="AI1402" s="26"/>
      <c r="AJ1402" s="26"/>
      <c r="AK1402" s="26"/>
      <c r="AL1402" s="26"/>
      <c r="AM1402" s="26"/>
      <c r="AN1402" s="26"/>
      <c r="AO1402" s="26"/>
      <c r="AP1402" s="26"/>
      <c r="AQ1402" s="26"/>
      <c r="AR1402" s="26"/>
      <c r="AS1402" s="26"/>
      <c r="AT1402" s="26"/>
      <c r="AU1402" s="26"/>
      <c r="AV1402" s="26"/>
      <c r="AW1402" s="26"/>
      <c r="AX1402" s="26"/>
      <c r="AY1402" s="26"/>
    </row>
    <row r="1403" spans="1:51" ht="12.75" customHeight="1" x14ac:dyDescent="0.25">
      <c r="A1403" s="26"/>
      <c r="B1403" s="66"/>
      <c r="C1403" s="67"/>
      <c r="D1403" s="67"/>
      <c r="E1403" s="26"/>
      <c r="F1403" s="26"/>
      <c r="G1403" s="26"/>
      <c r="H1403" s="26"/>
      <c r="I1403" s="26"/>
      <c r="J1403" s="26"/>
      <c r="K1403" s="26"/>
      <c r="L1403" s="26"/>
      <c r="M1403" s="26"/>
      <c r="N1403" s="26"/>
      <c r="O1403" s="26"/>
      <c r="P1403" s="26"/>
      <c r="Q1403" s="26"/>
      <c r="R1403" s="26"/>
      <c r="S1403" s="26"/>
      <c r="T1403" s="26"/>
      <c r="U1403" s="26"/>
      <c r="V1403" s="26"/>
      <c r="W1403" s="26"/>
      <c r="X1403" s="26"/>
      <c r="Y1403" s="26"/>
      <c r="Z1403" s="26"/>
      <c r="AA1403" s="26"/>
      <c r="AB1403" s="26"/>
      <c r="AC1403" s="26"/>
      <c r="AD1403" s="26"/>
      <c r="AE1403" s="26"/>
      <c r="AF1403" s="26"/>
      <c r="AG1403" s="26"/>
      <c r="AH1403" s="26"/>
      <c r="AI1403" s="26"/>
      <c r="AJ1403" s="26"/>
      <c r="AK1403" s="26"/>
      <c r="AL1403" s="26"/>
      <c r="AM1403" s="26"/>
      <c r="AN1403" s="26"/>
      <c r="AO1403" s="26"/>
      <c r="AP1403" s="26"/>
      <c r="AQ1403" s="26"/>
      <c r="AR1403" s="26"/>
      <c r="AS1403" s="26"/>
      <c r="AT1403" s="26"/>
      <c r="AU1403" s="26"/>
      <c r="AV1403" s="26"/>
      <c r="AW1403" s="26"/>
      <c r="AX1403" s="26"/>
      <c r="AY1403" s="26"/>
    </row>
    <row r="1404" spans="1:51" ht="12.75" customHeight="1" x14ac:dyDescent="0.25">
      <c r="A1404" s="26"/>
      <c r="B1404" s="66"/>
      <c r="C1404" s="67"/>
      <c r="D1404" s="67"/>
      <c r="E1404" s="26"/>
      <c r="F1404" s="26"/>
      <c r="G1404" s="26"/>
      <c r="H1404" s="26"/>
      <c r="I1404" s="26"/>
      <c r="J1404" s="26"/>
      <c r="K1404" s="26"/>
      <c r="L1404" s="26"/>
      <c r="M1404" s="26"/>
      <c r="N1404" s="26"/>
      <c r="O1404" s="26"/>
      <c r="P1404" s="26"/>
      <c r="Q1404" s="26"/>
      <c r="R1404" s="26"/>
      <c r="S1404" s="26"/>
      <c r="T1404" s="26"/>
      <c r="U1404" s="26"/>
      <c r="V1404" s="26"/>
      <c r="W1404" s="26"/>
      <c r="X1404" s="26"/>
      <c r="Y1404" s="26"/>
      <c r="Z1404" s="26"/>
      <c r="AA1404" s="26"/>
      <c r="AB1404" s="26"/>
      <c r="AC1404" s="26"/>
      <c r="AD1404" s="26"/>
      <c r="AE1404" s="26"/>
      <c r="AF1404" s="26"/>
      <c r="AG1404" s="26"/>
      <c r="AH1404" s="26"/>
      <c r="AI1404" s="26"/>
      <c r="AJ1404" s="26"/>
      <c r="AK1404" s="26"/>
      <c r="AL1404" s="26"/>
      <c r="AM1404" s="26"/>
      <c r="AN1404" s="26"/>
      <c r="AO1404" s="26"/>
      <c r="AP1404" s="26"/>
      <c r="AQ1404" s="26"/>
      <c r="AR1404" s="26"/>
      <c r="AS1404" s="26"/>
      <c r="AT1404" s="26"/>
      <c r="AU1404" s="26"/>
      <c r="AV1404" s="26"/>
      <c r="AW1404" s="26"/>
      <c r="AX1404" s="26"/>
      <c r="AY1404" s="26"/>
    </row>
    <row r="1405" spans="1:51" ht="12.75" customHeight="1" x14ac:dyDescent="0.25">
      <c r="A1405" s="26"/>
      <c r="B1405" s="66"/>
      <c r="C1405" s="67"/>
      <c r="D1405" s="67"/>
      <c r="E1405" s="26"/>
      <c r="F1405" s="26"/>
      <c r="G1405" s="26"/>
      <c r="H1405" s="26"/>
      <c r="I1405" s="26"/>
      <c r="J1405" s="26"/>
      <c r="K1405" s="26"/>
      <c r="L1405" s="26"/>
      <c r="M1405" s="26"/>
      <c r="N1405" s="26"/>
      <c r="O1405" s="26"/>
      <c r="P1405" s="26"/>
      <c r="Q1405" s="26"/>
      <c r="R1405" s="26"/>
      <c r="S1405" s="26"/>
      <c r="T1405" s="26"/>
      <c r="U1405" s="26"/>
      <c r="V1405" s="26"/>
      <c r="W1405" s="26"/>
      <c r="X1405" s="26"/>
      <c r="Y1405" s="26"/>
      <c r="Z1405" s="26"/>
      <c r="AA1405" s="26"/>
      <c r="AB1405" s="26"/>
      <c r="AC1405" s="26"/>
      <c r="AD1405" s="26"/>
      <c r="AE1405" s="26"/>
      <c r="AF1405" s="26"/>
      <c r="AG1405" s="26"/>
      <c r="AH1405" s="26"/>
      <c r="AI1405" s="26"/>
      <c r="AJ1405" s="26"/>
      <c r="AK1405" s="26"/>
      <c r="AL1405" s="26"/>
      <c r="AM1405" s="26"/>
      <c r="AN1405" s="26"/>
      <c r="AO1405" s="26"/>
      <c r="AP1405" s="26"/>
      <c r="AQ1405" s="26"/>
      <c r="AR1405" s="26"/>
      <c r="AS1405" s="26"/>
      <c r="AT1405" s="26"/>
      <c r="AU1405" s="26"/>
      <c r="AV1405" s="26"/>
      <c r="AW1405" s="26"/>
      <c r="AX1405" s="26"/>
      <c r="AY1405" s="26"/>
    </row>
    <row r="1406" spans="1:51" ht="12.75" customHeight="1" x14ac:dyDescent="0.25">
      <c r="A1406" s="26"/>
      <c r="B1406" s="66"/>
      <c r="C1406" s="67"/>
      <c r="D1406" s="67"/>
      <c r="E1406" s="26"/>
      <c r="F1406" s="26"/>
      <c r="G1406" s="26"/>
      <c r="H1406" s="26"/>
      <c r="I1406" s="26"/>
      <c r="J1406" s="26"/>
      <c r="K1406" s="26"/>
      <c r="L1406" s="26"/>
      <c r="M1406" s="26"/>
      <c r="N1406" s="26"/>
      <c r="O1406" s="26"/>
      <c r="P1406" s="26"/>
      <c r="Q1406" s="26"/>
      <c r="R1406" s="26"/>
      <c r="S1406" s="26"/>
      <c r="T1406" s="26"/>
      <c r="U1406" s="26"/>
      <c r="V1406" s="26"/>
      <c r="W1406" s="26"/>
      <c r="X1406" s="26"/>
      <c r="Y1406" s="26"/>
      <c r="Z1406" s="26"/>
      <c r="AA1406" s="26"/>
      <c r="AB1406" s="26"/>
      <c r="AC1406" s="26"/>
      <c r="AD1406" s="26"/>
      <c r="AE1406" s="26"/>
      <c r="AF1406" s="26"/>
      <c r="AG1406" s="26"/>
      <c r="AH1406" s="26"/>
      <c r="AI1406" s="26"/>
      <c r="AJ1406" s="26"/>
      <c r="AK1406" s="26"/>
      <c r="AL1406" s="26"/>
      <c r="AM1406" s="26"/>
      <c r="AN1406" s="26"/>
      <c r="AO1406" s="26"/>
      <c r="AP1406" s="26"/>
      <c r="AQ1406" s="26"/>
      <c r="AR1406" s="26"/>
      <c r="AS1406" s="26"/>
      <c r="AT1406" s="26"/>
      <c r="AU1406" s="26"/>
      <c r="AV1406" s="26"/>
      <c r="AW1406" s="26"/>
      <c r="AX1406" s="26"/>
      <c r="AY1406" s="26"/>
    </row>
    <row r="1407" spans="1:51" ht="12.75" customHeight="1" x14ac:dyDescent="0.25">
      <c r="A1407" s="26"/>
      <c r="B1407" s="66"/>
      <c r="C1407" s="67"/>
      <c r="D1407" s="67"/>
      <c r="E1407" s="26"/>
      <c r="F1407" s="26"/>
      <c r="G1407" s="26"/>
      <c r="H1407" s="26"/>
      <c r="I1407" s="26"/>
      <c r="J1407" s="26"/>
      <c r="K1407" s="26"/>
      <c r="L1407" s="26"/>
      <c r="M1407" s="26"/>
      <c r="N1407" s="26"/>
      <c r="O1407" s="26"/>
      <c r="P1407" s="26"/>
      <c r="Q1407" s="26"/>
      <c r="R1407" s="26"/>
      <c r="S1407" s="26"/>
      <c r="T1407" s="26"/>
      <c r="U1407" s="26"/>
      <c r="V1407" s="26"/>
      <c r="W1407" s="26"/>
      <c r="X1407" s="26"/>
      <c r="Y1407" s="26"/>
      <c r="Z1407" s="26"/>
      <c r="AA1407" s="26"/>
      <c r="AB1407" s="26"/>
      <c r="AC1407" s="26"/>
      <c r="AD1407" s="26"/>
      <c r="AE1407" s="26"/>
      <c r="AF1407" s="26"/>
      <c r="AG1407" s="26"/>
      <c r="AH1407" s="26"/>
      <c r="AI1407" s="26"/>
      <c r="AJ1407" s="26"/>
      <c r="AK1407" s="26"/>
      <c r="AL1407" s="26"/>
      <c r="AM1407" s="26"/>
      <c r="AN1407" s="26"/>
      <c r="AO1407" s="26"/>
      <c r="AP1407" s="26"/>
      <c r="AQ1407" s="26"/>
      <c r="AR1407" s="26"/>
      <c r="AS1407" s="26"/>
      <c r="AT1407" s="26"/>
      <c r="AU1407" s="26"/>
      <c r="AV1407" s="26"/>
      <c r="AW1407" s="26"/>
      <c r="AX1407" s="26"/>
      <c r="AY1407" s="26"/>
    </row>
    <row r="1408" spans="1:51" ht="12.75" customHeight="1" x14ac:dyDescent="0.25">
      <c r="A1408" s="26"/>
      <c r="B1408" s="66"/>
      <c r="C1408" s="67"/>
      <c r="D1408" s="67"/>
      <c r="E1408" s="26"/>
      <c r="F1408" s="26"/>
      <c r="G1408" s="26"/>
      <c r="H1408" s="26"/>
      <c r="I1408" s="26"/>
      <c r="J1408" s="26"/>
      <c r="K1408" s="26"/>
      <c r="L1408" s="26"/>
      <c r="M1408" s="26"/>
      <c r="N1408" s="26"/>
      <c r="O1408" s="26"/>
      <c r="P1408" s="26"/>
      <c r="Q1408" s="26"/>
      <c r="R1408" s="26"/>
      <c r="S1408" s="26"/>
      <c r="T1408" s="26"/>
      <c r="U1408" s="26"/>
      <c r="V1408" s="26"/>
      <c r="W1408" s="26"/>
      <c r="X1408" s="26"/>
      <c r="Y1408" s="26"/>
      <c r="Z1408" s="26"/>
      <c r="AA1408" s="26"/>
      <c r="AB1408" s="26"/>
      <c r="AC1408" s="26"/>
      <c r="AD1408" s="26"/>
      <c r="AE1408" s="26"/>
      <c r="AF1408" s="26"/>
      <c r="AG1408" s="26"/>
      <c r="AH1408" s="26"/>
      <c r="AI1408" s="26"/>
      <c r="AJ1408" s="26"/>
      <c r="AK1408" s="26"/>
      <c r="AL1408" s="26"/>
      <c r="AM1408" s="26"/>
      <c r="AN1408" s="26"/>
      <c r="AO1408" s="26"/>
      <c r="AP1408" s="26"/>
      <c r="AQ1408" s="26"/>
      <c r="AR1408" s="26"/>
      <c r="AS1408" s="26"/>
      <c r="AT1408" s="26"/>
      <c r="AU1408" s="26"/>
      <c r="AV1408" s="26"/>
      <c r="AW1408" s="26"/>
      <c r="AX1408" s="26"/>
      <c r="AY1408" s="26"/>
    </row>
    <row r="1409" spans="1:51" ht="12.75" customHeight="1" x14ac:dyDescent="0.25">
      <c r="A1409" s="26"/>
      <c r="B1409" s="66"/>
      <c r="C1409" s="67"/>
      <c r="D1409" s="67"/>
      <c r="E1409" s="26"/>
      <c r="F1409" s="26"/>
      <c r="G1409" s="26"/>
      <c r="H1409" s="26"/>
      <c r="I1409" s="26"/>
      <c r="J1409" s="26"/>
      <c r="K1409" s="26"/>
      <c r="L1409" s="26"/>
      <c r="M1409" s="26"/>
      <c r="N1409" s="26"/>
      <c r="O1409" s="26"/>
      <c r="P1409" s="26"/>
      <c r="Q1409" s="26"/>
      <c r="R1409" s="26"/>
      <c r="S1409" s="26"/>
      <c r="T1409" s="26"/>
      <c r="U1409" s="26"/>
      <c r="V1409" s="26"/>
      <c r="W1409" s="26"/>
      <c r="X1409" s="26"/>
      <c r="Y1409" s="26"/>
      <c r="Z1409" s="26"/>
      <c r="AA1409" s="26"/>
      <c r="AB1409" s="26"/>
      <c r="AC1409" s="26"/>
      <c r="AD1409" s="26"/>
      <c r="AE1409" s="26"/>
      <c r="AF1409" s="26"/>
      <c r="AG1409" s="26"/>
      <c r="AH1409" s="26"/>
      <c r="AI1409" s="26"/>
      <c r="AJ1409" s="26"/>
      <c r="AK1409" s="26"/>
      <c r="AL1409" s="26"/>
      <c r="AM1409" s="26"/>
      <c r="AN1409" s="26"/>
      <c r="AO1409" s="26"/>
      <c r="AP1409" s="26"/>
      <c r="AQ1409" s="26"/>
      <c r="AR1409" s="26"/>
      <c r="AS1409" s="26"/>
      <c r="AT1409" s="26"/>
      <c r="AU1409" s="26"/>
      <c r="AV1409" s="26"/>
      <c r="AW1409" s="26"/>
      <c r="AX1409" s="26"/>
      <c r="AY1409" s="26"/>
    </row>
    <row r="1410" spans="1:51" ht="12.75" customHeight="1" x14ac:dyDescent="0.25">
      <c r="A1410" s="26"/>
      <c r="B1410" s="66"/>
      <c r="C1410" s="67"/>
      <c r="D1410" s="67"/>
      <c r="E1410" s="26"/>
      <c r="F1410" s="26"/>
      <c r="G1410" s="26"/>
      <c r="H1410" s="26"/>
      <c r="I1410" s="26"/>
      <c r="J1410" s="26"/>
      <c r="K1410" s="26"/>
      <c r="L1410" s="26"/>
      <c r="M1410" s="26"/>
      <c r="N1410" s="26"/>
      <c r="O1410" s="26"/>
      <c r="P1410" s="26"/>
      <c r="Q1410" s="26"/>
      <c r="R1410" s="26"/>
      <c r="S1410" s="26"/>
      <c r="T1410" s="26"/>
      <c r="U1410" s="26"/>
      <c r="V1410" s="26"/>
      <c r="W1410" s="26"/>
      <c r="X1410" s="26"/>
      <c r="Y1410" s="26"/>
      <c r="Z1410" s="26"/>
      <c r="AA1410" s="26"/>
      <c r="AB1410" s="26"/>
      <c r="AC1410" s="26"/>
      <c r="AD1410" s="26"/>
      <c r="AE1410" s="26"/>
      <c r="AF1410" s="26"/>
      <c r="AG1410" s="26"/>
      <c r="AH1410" s="26"/>
      <c r="AI1410" s="26"/>
      <c r="AJ1410" s="26"/>
      <c r="AK1410" s="26"/>
      <c r="AL1410" s="26"/>
      <c r="AM1410" s="26"/>
      <c r="AN1410" s="26"/>
      <c r="AO1410" s="26"/>
      <c r="AP1410" s="26"/>
      <c r="AQ1410" s="26"/>
      <c r="AR1410" s="26"/>
      <c r="AS1410" s="26"/>
      <c r="AT1410" s="26"/>
      <c r="AU1410" s="26"/>
      <c r="AV1410" s="26"/>
      <c r="AW1410" s="26"/>
      <c r="AX1410" s="26"/>
      <c r="AY1410" s="26"/>
    </row>
    <row r="1411" spans="1:51" ht="12.75" customHeight="1" x14ac:dyDescent="0.25">
      <c r="A1411" s="26"/>
      <c r="B1411" s="66"/>
      <c r="C1411" s="67"/>
      <c r="D1411" s="67"/>
      <c r="E1411" s="26"/>
      <c r="F1411" s="26"/>
      <c r="G1411" s="26"/>
      <c r="H1411" s="26"/>
      <c r="I1411" s="26"/>
      <c r="J1411" s="26"/>
      <c r="K1411" s="26"/>
      <c r="L1411" s="26"/>
      <c r="M1411" s="26"/>
      <c r="N1411" s="26"/>
      <c r="O1411" s="26"/>
      <c r="P1411" s="26"/>
      <c r="Q1411" s="26"/>
      <c r="R1411" s="26"/>
      <c r="S1411" s="26"/>
      <c r="T1411" s="26"/>
      <c r="U1411" s="26"/>
      <c r="V1411" s="26"/>
      <c r="W1411" s="26"/>
      <c r="X1411" s="26"/>
      <c r="Y1411" s="26"/>
      <c r="Z1411" s="26"/>
      <c r="AA1411" s="26"/>
      <c r="AB1411" s="26"/>
      <c r="AC1411" s="26"/>
      <c r="AD1411" s="26"/>
      <c r="AE1411" s="26"/>
      <c r="AF1411" s="26"/>
      <c r="AG1411" s="26"/>
      <c r="AH1411" s="26"/>
      <c r="AI1411" s="26"/>
      <c r="AJ1411" s="26"/>
      <c r="AK1411" s="26"/>
      <c r="AL1411" s="26"/>
      <c r="AM1411" s="26"/>
      <c r="AN1411" s="26"/>
      <c r="AO1411" s="26"/>
      <c r="AP1411" s="26"/>
      <c r="AQ1411" s="26"/>
      <c r="AR1411" s="26"/>
      <c r="AS1411" s="26"/>
      <c r="AT1411" s="26"/>
      <c r="AU1411" s="26"/>
      <c r="AV1411" s="26"/>
      <c r="AW1411" s="26"/>
      <c r="AX1411" s="26"/>
      <c r="AY1411" s="26"/>
    </row>
    <row r="1412" spans="1:51" ht="12.75" customHeight="1" x14ac:dyDescent="0.25">
      <c r="A1412" s="26"/>
      <c r="B1412" s="66"/>
      <c r="C1412" s="67"/>
      <c r="D1412" s="67"/>
      <c r="E1412" s="26"/>
      <c r="F1412" s="26"/>
      <c r="G1412" s="26"/>
      <c r="H1412" s="26"/>
      <c r="I1412" s="26"/>
      <c r="J1412" s="26"/>
      <c r="K1412" s="26"/>
      <c r="L1412" s="26"/>
      <c r="M1412" s="26"/>
      <c r="N1412" s="26"/>
      <c r="O1412" s="26"/>
      <c r="P1412" s="26"/>
      <c r="Q1412" s="26"/>
      <c r="R1412" s="26"/>
      <c r="S1412" s="26"/>
      <c r="T1412" s="26"/>
      <c r="U1412" s="26"/>
      <c r="V1412" s="26"/>
      <c r="W1412" s="26"/>
      <c r="X1412" s="26"/>
      <c r="Y1412" s="26"/>
      <c r="Z1412" s="26"/>
      <c r="AA1412" s="26"/>
      <c r="AB1412" s="26"/>
      <c r="AC1412" s="26"/>
      <c r="AD1412" s="26"/>
      <c r="AE1412" s="26"/>
      <c r="AF1412" s="26"/>
      <c r="AG1412" s="26"/>
      <c r="AH1412" s="26"/>
      <c r="AI1412" s="26"/>
      <c r="AJ1412" s="26"/>
      <c r="AK1412" s="26"/>
      <c r="AL1412" s="26"/>
      <c r="AM1412" s="26"/>
      <c r="AN1412" s="26"/>
      <c r="AO1412" s="26"/>
      <c r="AP1412" s="26"/>
      <c r="AQ1412" s="26"/>
      <c r="AR1412" s="26"/>
      <c r="AS1412" s="26"/>
      <c r="AT1412" s="26"/>
      <c r="AU1412" s="26"/>
      <c r="AV1412" s="26"/>
      <c r="AW1412" s="26"/>
      <c r="AX1412" s="26"/>
      <c r="AY1412" s="26"/>
    </row>
    <row r="1413" spans="1:51" ht="12.75" customHeight="1" x14ac:dyDescent="0.25">
      <c r="A1413" s="26"/>
      <c r="B1413" s="66"/>
      <c r="C1413" s="67"/>
      <c r="D1413" s="67"/>
      <c r="E1413" s="26"/>
      <c r="F1413" s="26"/>
      <c r="G1413" s="26"/>
      <c r="H1413" s="26"/>
      <c r="I1413" s="26"/>
      <c r="J1413" s="26"/>
      <c r="K1413" s="26"/>
      <c r="L1413" s="26"/>
      <c r="M1413" s="26"/>
      <c r="N1413" s="26"/>
      <c r="O1413" s="26"/>
      <c r="P1413" s="26"/>
      <c r="Q1413" s="26"/>
      <c r="R1413" s="26"/>
      <c r="S1413" s="26"/>
      <c r="T1413" s="26"/>
      <c r="U1413" s="26"/>
      <c r="V1413" s="26"/>
      <c r="W1413" s="26"/>
      <c r="X1413" s="26"/>
      <c r="Y1413" s="26"/>
      <c r="Z1413" s="26"/>
      <c r="AA1413" s="26"/>
      <c r="AB1413" s="26"/>
      <c r="AC1413" s="26"/>
      <c r="AD1413" s="26"/>
      <c r="AE1413" s="26"/>
      <c r="AF1413" s="26"/>
      <c r="AG1413" s="26"/>
      <c r="AH1413" s="26"/>
      <c r="AI1413" s="26"/>
      <c r="AJ1413" s="26"/>
      <c r="AK1413" s="26"/>
      <c r="AL1413" s="26"/>
      <c r="AM1413" s="26"/>
      <c r="AN1413" s="26"/>
      <c r="AO1413" s="26"/>
      <c r="AP1413" s="26"/>
      <c r="AQ1413" s="26"/>
      <c r="AR1413" s="26"/>
      <c r="AS1413" s="26"/>
      <c r="AT1413" s="26"/>
      <c r="AU1413" s="26"/>
      <c r="AV1413" s="26"/>
      <c r="AW1413" s="26"/>
      <c r="AX1413" s="26"/>
      <c r="AY1413" s="26"/>
    </row>
    <row r="1414" spans="1:51" ht="12.75" customHeight="1" x14ac:dyDescent="0.25">
      <c r="A1414" s="26"/>
      <c r="B1414" s="66"/>
      <c r="C1414" s="67"/>
      <c r="D1414" s="67"/>
      <c r="E1414" s="26"/>
      <c r="F1414" s="26"/>
      <c r="G1414" s="26"/>
      <c r="H1414" s="26"/>
      <c r="I1414" s="26"/>
      <c r="J1414" s="26"/>
      <c r="K1414" s="26"/>
      <c r="L1414" s="26"/>
      <c r="M1414" s="26"/>
      <c r="N1414" s="26"/>
      <c r="O1414" s="26"/>
      <c r="P1414" s="26"/>
      <c r="Q1414" s="26"/>
      <c r="R1414" s="26"/>
      <c r="S1414" s="26"/>
      <c r="T1414" s="26"/>
      <c r="U1414" s="26"/>
      <c r="V1414" s="26"/>
      <c r="W1414" s="26"/>
      <c r="X1414" s="26"/>
      <c r="Y1414" s="26"/>
      <c r="Z1414" s="26"/>
      <c r="AA1414" s="26"/>
      <c r="AB1414" s="26"/>
      <c r="AC1414" s="26"/>
      <c r="AD1414" s="26"/>
      <c r="AE1414" s="26"/>
      <c r="AF1414" s="26"/>
      <c r="AG1414" s="26"/>
      <c r="AH1414" s="26"/>
      <c r="AI1414" s="26"/>
      <c r="AJ1414" s="26"/>
      <c r="AK1414" s="26"/>
      <c r="AL1414" s="26"/>
      <c r="AM1414" s="26"/>
      <c r="AN1414" s="26"/>
      <c r="AO1414" s="26"/>
      <c r="AP1414" s="26"/>
      <c r="AQ1414" s="26"/>
      <c r="AR1414" s="26"/>
      <c r="AS1414" s="26"/>
      <c r="AT1414" s="26"/>
      <c r="AU1414" s="26"/>
      <c r="AV1414" s="26"/>
      <c r="AW1414" s="26"/>
      <c r="AX1414" s="26"/>
      <c r="AY1414" s="26"/>
    </row>
    <row r="1415" spans="1:51" ht="12.75" customHeight="1" x14ac:dyDescent="0.25">
      <c r="A1415" s="26"/>
      <c r="B1415" s="66"/>
      <c r="C1415" s="67"/>
      <c r="D1415" s="67"/>
      <c r="E1415" s="26"/>
      <c r="F1415" s="26"/>
      <c r="G1415" s="26"/>
      <c r="H1415" s="26"/>
      <c r="I1415" s="26"/>
      <c r="J1415" s="26"/>
      <c r="K1415" s="26"/>
      <c r="L1415" s="26"/>
      <c r="M1415" s="26"/>
      <c r="N1415" s="26"/>
      <c r="O1415" s="26"/>
      <c r="P1415" s="26"/>
      <c r="Q1415" s="26"/>
      <c r="R1415" s="26"/>
      <c r="S1415" s="26"/>
      <c r="T1415" s="26"/>
      <c r="U1415" s="26"/>
      <c r="V1415" s="26"/>
      <c r="W1415" s="26"/>
      <c r="X1415" s="26"/>
      <c r="Y1415" s="26"/>
      <c r="Z1415" s="26"/>
      <c r="AA1415" s="26"/>
      <c r="AB1415" s="26"/>
      <c r="AC1415" s="26"/>
      <c r="AD1415" s="26"/>
      <c r="AE1415" s="26"/>
      <c r="AF1415" s="26"/>
      <c r="AG1415" s="26"/>
      <c r="AH1415" s="26"/>
      <c r="AI1415" s="26"/>
      <c r="AJ1415" s="26"/>
      <c r="AK1415" s="26"/>
      <c r="AL1415" s="26"/>
      <c r="AM1415" s="26"/>
      <c r="AN1415" s="26"/>
      <c r="AO1415" s="26"/>
      <c r="AP1415" s="26"/>
      <c r="AQ1415" s="26"/>
      <c r="AR1415" s="26"/>
      <c r="AS1415" s="26"/>
      <c r="AT1415" s="26"/>
      <c r="AU1415" s="26"/>
      <c r="AV1415" s="26"/>
      <c r="AW1415" s="26"/>
      <c r="AX1415" s="26"/>
      <c r="AY1415" s="26"/>
    </row>
    <row r="1416" spans="1:51" ht="12.75" customHeight="1" x14ac:dyDescent="0.25">
      <c r="A1416" s="26"/>
      <c r="B1416" s="66"/>
      <c r="C1416" s="67"/>
      <c r="D1416" s="67"/>
      <c r="E1416" s="26"/>
      <c r="F1416" s="26"/>
      <c r="G1416" s="26"/>
      <c r="H1416" s="26"/>
      <c r="I1416" s="26"/>
      <c r="J1416" s="26"/>
      <c r="K1416" s="26"/>
      <c r="L1416" s="26"/>
      <c r="M1416" s="26"/>
      <c r="N1416" s="26"/>
      <c r="O1416" s="26"/>
      <c r="P1416" s="26"/>
      <c r="Q1416" s="26"/>
      <c r="R1416" s="26"/>
      <c r="S1416" s="26"/>
      <c r="T1416" s="26"/>
      <c r="U1416" s="26"/>
      <c r="V1416" s="26"/>
      <c r="W1416" s="26"/>
      <c r="X1416" s="26"/>
      <c r="Y1416" s="26"/>
      <c r="Z1416" s="26"/>
      <c r="AA1416" s="26"/>
      <c r="AB1416" s="26"/>
      <c r="AC1416" s="26"/>
      <c r="AD1416" s="26"/>
      <c r="AE1416" s="26"/>
      <c r="AF1416" s="26"/>
      <c r="AG1416" s="26"/>
      <c r="AH1416" s="26"/>
      <c r="AI1416" s="26"/>
      <c r="AJ1416" s="26"/>
      <c r="AK1416" s="26"/>
      <c r="AL1416" s="26"/>
      <c r="AM1416" s="26"/>
      <c r="AN1416" s="26"/>
      <c r="AO1416" s="26"/>
      <c r="AP1416" s="26"/>
      <c r="AQ1416" s="26"/>
      <c r="AR1416" s="26"/>
      <c r="AS1416" s="26"/>
      <c r="AT1416" s="26"/>
      <c r="AU1416" s="26"/>
      <c r="AV1416" s="26"/>
      <c r="AW1416" s="26"/>
      <c r="AX1416" s="26"/>
      <c r="AY1416" s="26"/>
    </row>
    <row r="1417" spans="1:51" ht="12.75" customHeight="1" x14ac:dyDescent="0.25">
      <c r="A1417" s="26"/>
      <c r="B1417" s="66"/>
      <c r="C1417" s="67"/>
      <c r="D1417" s="67"/>
      <c r="E1417" s="26"/>
      <c r="F1417" s="26"/>
      <c r="G1417" s="26"/>
      <c r="H1417" s="26"/>
      <c r="I1417" s="26"/>
      <c r="J1417" s="26"/>
      <c r="K1417" s="26"/>
      <c r="L1417" s="26"/>
      <c r="M1417" s="26"/>
      <c r="N1417" s="26"/>
      <c r="O1417" s="26"/>
      <c r="P1417" s="26"/>
      <c r="Q1417" s="26"/>
      <c r="R1417" s="26"/>
      <c r="S1417" s="26"/>
      <c r="T1417" s="26"/>
      <c r="U1417" s="26"/>
      <c r="V1417" s="26"/>
      <c r="W1417" s="26"/>
      <c r="X1417" s="26"/>
      <c r="Y1417" s="26"/>
      <c r="Z1417" s="26"/>
      <c r="AA1417" s="26"/>
      <c r="AB1417" s="26"/>
      <c r="AC1417" s="26"/>
      <c r="AD1417" s="26"/>
      <c r="AE1417" s="26"/>
      <c r="AF1417" s="26"/>
      <c r="AG1417" s="26"/>
      <c r="AH1417" s="26"/>
      <c r="AI1417" s="26"/>
      <c r="AJ1417" s="26"/>
      <c r="AK1417" s="26"/>
      <c r="AL1417" s="26"/>
      <c r="AM1417" s="26"/>
      <c r="AN1417" s="26"/>
      <c r="AO1417" s="26"/>
      <c r="AP1417" s="26"/>
      <c r="AQ1417" s="26"/>
      <c r="AR1417" s="26"/>
      <c r="AS1417" s="26"/>
      <c r="AT1417" s="26"/>
      <c r="AU1417" s="26"/>
      <c r="AV1417" s="26"/>
      <c r="AW1417" s="26"/>
      <c r="AX1417" s="26"/>
      <c r="AY1417" s="26"/>
    </row>
    <row r="1418" spans="1:51" ht="12.75" customHeight="1" x14ac:dyDescent="0.25">
      <c r="A1418" s="26"/>
      <c r="B1418" s="66"/>
      <c r="C1418" s="67"/>
      <c r="D1418" s="67"/>
      <c r="E1418" s="26"/>
      <c r="F1418" s="26"/>
      <c r="G1418" s="26"/>
      <c r="H1418" s="26"/>
      <c r="I1418" s="26"/>
      <c r="J1418" s="26"/>
      <c r="K1418" s="26"/>
      <c r="L1418" s="26"/>
      <c r="M1418" s="26"/>
      <c r="N1418" s="26"/>
      <c r="O1418" s="26"/>
      <c r="P1418" s="26"/>
      <c r="Q1418" s="26"/>
      <c r="R1418" s="26"/>
      <c r="S1418" s="26"/>
      <c r="T1418" s="26"/>
      <c r="U1418" s="26"/>
      <c r="V1418" s="26"/>
      <c r="W1418" s="26"/>
      <c r="X1418" s="26"/>
      <c r="Y1418" s="26"/>
      <c r="Z1418" s="26"/>
      <c r="AA1418" s="26"/>
      <c r="AB1418" s="26"/>
      <c r="AC1418" s="26"/>
      <c r="AD1418" s="26"/>
      <c r="AE1418" s="26"/>
      <c r="AF1418" s="26"/>
      <c r="AG1418" s="26"/>
      <c r="AH1418" s="26"/>
      <c r="AI1418" s="26"/>
      <c r="AJ1418" s="26"/>
      <c r="AK1418" s="26"/>
      <c r="AL1418" s="26"/>
      <c r="AM1418" s="26"/>
      <c r="AN1418" s="26"/>
      <c r="AO1418" s="26"/>
      <c r="AP1418" s="26"/>
      <c r="AQ1418" s="26"/>
      <c r="AR1418" s="26"/>
      <c r="AS1418" s="26"/>
      <c r="AT1418" s="26"/>
      <c r="AU1418" s="26"/>
      <c r="AV1418" s="26"/>
      <c r="AW1418" s="26"/>
      <c r="AX1418" s="26"/>
      <c r="AY1418" s="26"/>
    </row>
    <row r="1419" spans="1:51" ht="12.75" customHeight="1" x14ac:dyDescent="0.25">
      <c r="A1419" s="26"/>
      <c r="B1419" s="66"/>
      <c r="C1419" s="67"/>
      <c r="D1419" s="67"/>
      <c r="E1419" s="26"/>
      <c r="F1419" s="26"/>
      <c r="G1419" s="26"/>
      <c r="H1419" s="26"/>
      <c r="I1419" s="26"/>
      <c r="J1419" s="26"/>
      <c r="K1419" s="26"/>
      <c r="L1419" s="26"/>
      <c r="M1419" s="26"/>
      <c r="N1419" s="26"/>
      <c r="O1419" s="26"/>
      <c r="P1419" s="26"/>
      <c r="Q1419" s="26"/>
      <c r="R1419" s="26"/>
      <c r="S1419" s="26"/>
      <c r="T1419" s="26"/>
      <c r="U1419" s="26"/>
      <c r="V1419" s="26"/>
      <c r="W1419" s="26"/>
      <c r="X1419" s="26"/>
      <c r="Y1419" s="26"/>
      <c r="Z1419" s="26"/>
      <c r="AA1419" s="26"/>
      <c r="AB1419" s="26"/>
      <c r="AC1419" s="26"/>
      <c r="AD1419" s="26"/>
      <c r="AE1419" s="26"/>
      <c r="AF1419" s="26"/>
      <c r="AG1419" s="26"/>
      <c r="AH1419" s="26"/>
      <c r="AI1419" s="26"/>
      <c r="AJ1419" s="26"/>
      <c r="AK1419" s="26"/>
      <c r="AL1419" s="26"/>
      <c r="AM1419" s="26"/>
      <c r="AN1419" s="26"/>
      <c r="AO1419" s="26"/>
      <c r="AP1419" s="26"/>
      <c r="AQ1419" s="26"/>
      <c r="AR1419" s="26"/>
      <c r="AS1419" s="26"/>
      <c r="AT1419" s="26"/>
      <c r="AU1419" s="26"/>
      <c r="AV1419" s="26"/>
      <c r="AW1419" s="26"/>
      <c r="AX1419" s="26"/>
      <c r="AY1419" s="26"/>
    </row>
    <row r="1420" spans="1:51" ht="12.75" customHeight="1" x14ac:dyDescent="0.25">
      <c r="A1420" s="26"/>
      <c r="B1420" s="66"/>
      <c r="C1420" s="67"/>
      <c r="D1420" s="67"/>
      <c r="E1420" s="26"/>
      <c r="F1420" s="26"/>
      <c r="G1420" s="26"/>
      <c r="H1420" s="26"/>
      <c r="I1420" s="26"/>
      <c r="J1420" s="26"/>
      <c r="K1420" s="26"/>
      <c r="L1420" s="26"/>
      <c r="M1420" s="26"/>
      <c r="N1420" s="26"/>
      <c r="O1420" s="26"/>
      <c r="P1420" s="26"/>
      <c r="Q1420" s="26"/>
      <c r="R1420" s="26"/>
      <c r="S1420" s="26"/>
      <c r="T1420" s="26"/>
      <c r="U1420" s="26"/>
      <c r="V1420" s="26"/>
      <c r="W1420" s="26"/>
      <c r="X1420" s="26"/>
      <c r="Y1420" s="26"/>
      <c r="Z1420" s="26"/>
      <c r="AA1420" s="26"/>
      <c r="AB1420" s="26"/>
      <c r="AC1420" s="26"/>
      <c r="AD1420" s="26"/>
      <c r="AE1420" s="26"/>
      <c r="AF1420" s="26"/>
      <c r="AG1420" s="26"/>
      <c r="AH1420" s="26"/>
      <c r="AI1420" s="26"/>
      <c r="AJ1420" s="26"/>
      <c r="AK1420" s="26"/>
      <c r="AL1420" s="26"/>
      <c r="AM1420" s="26"/>
      <c r="AN1420" s="26"/>
      <c r="AO1420" s="26"/>
      <c r="AP1420" s="26"/>
      <c r="AQ1420" s="26"/>
      <c r="AR1420" s="26"/>
      <c r="AS1420" s="26"/>
      <c r="AT1420" s="26"/>
      <c r="AU1420" s="26"/>
      <c r="AV1420" s="26"/>
      <c r="AW1420" s="26"/>
      <c r="AX1420" s="26"/>
      <c r="AY1420" s="26"/>
    </row>
    <row r="1421" spans="1:51" ht="12.75" customHeight="1" x14ac:dyDescent="0.25">
      <c r="A1421" s="26"/>
      <c r="B1421" s="66"/>
      <c r="C1421" s="67"/>
      <c r="D1421" s="67"/>
      <c r="E1421" s="26"/>
      <c r="F1421" s="26"/>
      <c r="G1421" s="26"/>
      <c r="H1421" s="26"/>
      <c r="I1421" s="26"/>
      <c r="J1421" s="26"/>
      <c r="K1421" s="26"/>
      <c r="L1421" s="26"/>
      <c r="M1421" s="26"/>
      <c r="N1421" s="26"/>
      <c r="O1421" s="26"/>
      <c r="P1421" s="26"/>
      <c r="Q1421" s="26"/>
      <c r="R1421" s="26"/>
      <c r="S1421" s="26"/>
      <c r="T1421" s="26"/>
      <c r="U1421" s="26"/>
      <c r="V1421" s="26"/>
      <c r="W1421" s="26"/>
      <c r="X1421" s="26"/>
      <c r="Y1421" s="26"/>
      <c r="Z1421" s="26"/>
      <c r="AA1421" s="26"/>
      <c r="AB1421" s="26"/>
      <c r="AC1421" s="26"/>
      <c r="AD1421" s="26"/>
      <c r="AE1421" s="26"/>
      <c r="AF1421" s="26"/>
      <c r="AG1421" s="26"/>
      <c r="AH1421" s="26"/>
      <c r="AI1421" s="26"/>
      <c r="AJ1421" s="26"/>
      <c r="AK1421" s="26"/>
      <c r="AL1421" s="26"/>
      <c r="AM1421" s="26"/>
      <c r="AN1421" s="26"/>
      <c r="AO1421" s="26"/>
      <c r="AP1421" s="26"/>
      <c r="AQ1421" s="26"/>
      <c r="AR1421" s="26"/>
      <c r="AS1421" s="26"/>
      <c r="AT1421" s="26"/>
      <c r="AU1421" s="26"/>
      <c r="AV1421" s="26"/>
      <c r="AW1421" s="26"/>
      <c r="AX1421" s="26"/>
      <c r="AY1421" s="26"/>
    </row>
    <row r="1422" spans="1:51" ht="12.75" customHeight="1" x14ac:dyDescent="0.25">
      <c r="A1422" s="26"/>
      <c r="B1422" s="66"/>
      <c r="C1422" s="67"/>
      <c r="D1422" s="67"/>
      <c r="E1422" s="26"/>
      <c r="F1422" s="26"/>
      <c r="G1422" s="26"/>
      <c r="H1422" s="26"/>
      <c r="I1422" s="26"/>
      <c r="J1422" s="26"/>
      <c r="K1422" s="26"/>
      <c r="L1422" s="26"/>
      <c r="M1422" s="26"/>
      <c r="N1422" s="26"/>
      <c r="O1422" s="26"/>
      <c r="P1422" s="26"/>
      <c r="Q1422" s="26"/>
      <c r="R1422" s="26"/>
      <c r="S1422" s="26"/>
      <c r="T1422" s="26"/>
      <c r="U1422" s="26"/>
      <c r="V1422" s="26"/>
      <c r="W1422" s="26"/>
      <c r="X1422" s="26"/>
      <c r="Y1422" s="26"/>
      <c r="Z1422" s="26"/>
      <c r="AA1422" s="26"/>
      <c r="AB1422" s="26"/>
      <c r="AC1422" s="26"/>
      <c r="AD1422" s="26"/>
      <c r="AE1422" s="26"/>
      <c r="AF1422" s="26"/>
      <c r="AG1422" s="26"/>
      <c r="AH1422" s="26"/>
      <c r="AI1422" s="26"/>
      <c r="AJ1422" s="26"/>
      <c r="AK1422" s="26"/>
      <c r="AL1422" s="26"/>
      <c r="AM1422" s="26"/>
      <c r="AN1422" s="26"/>
      <c r="AO1422" s="26"/>
      <c r="AP1422" s="26"/>
      <c r="AQ1422" s="26"/>
      <c r="AR1422" s="26"/>
      <c r="AS1422" s="26"/>
      <c r="AT1422" s="26"/>
      <c r="AU1422" s="26"/>
      <c r="AV1422" s="26"/>
      <c r="AW1422" s="26"/>
      <c r="AX1422" s="26"/>
      <c r="AY1422" s="26"/>
    </row>
    <row r="1423" spans="1:51" ht="12.75" customHeight="1" x14ac:dyDescent="0.25">
      <c r="A1423" s="26"/>
      <c r="B1423" s="66"/>
      <c r="C1423" s="67"/>
      <c r="D1423" s="67"/>
      <c r="E1423" s="26"/>
      <c r="F1423" s="26"/>
      <c r="G1423" s="26"/>
      <c r="H1423" s="26"/>
      <c r="I1423" s="26"/>
      <c r="J1423" s="26"/>
      <c r="K1423" s="26"/>
      <c r="L1423" s="26"/>
      <c r="M1423" s="26"/>
      <c r="N1423" s="26"/>
      <c r="O1423" s="26"/>
      <c r="P1423" s="26"/>
      <c r="Q1423" s="26"/>
      <c r="R1423" s="26"/>
      <c r="S1423" s="26"/>
      <c r="T1423" s="26"/>
      <c r="U1423" s="26"/>
      <c r="V1423" s="26"/>
      <c r="W1423" s="26"/>
      <c r="X1423" s="26"/>
      <c r="Y1423" s="26"/>
      <c r="Z1423" s="26"/>
      <c r="AA1423" s="26"/>
      <c r="AB1423" s="26"/>
      <c r="AC1423" s="26"/>
      <c r="AD1423" s="26"/>
      <c r="AE1423" s="26"/>
      <c r="AF1423" s="26"/>
      <c r="AG1423" s="26"/>
      <c r="AH1423" s="26"/>
      <c r="AI1423" s="26"/>
      <c r="AJ1423" s="26"/>
      <c r="AK1423" s="26"/>
      <c r="AL1423" s="26"/>
      <c r="AM1423" s="26"/>
      <c r="AN1423" s="26"/>
      <c r="AO1423" s="26"/>
      <c r="AP1423" s="26"/>
      <c r="AQ1423" s="26"/>
      <c r="AR1423" s="26"/>
      <c r="AS1423" s="26"/>
      <c r="AT1423" s="26"/>
      <c r="AU1423" s="26"/>
      <c r="AV1423" s="26"/>
      <c r="AW1423" s="26"/>
      <c r="AX1423" s="26"/>
      <c r="AY1423" s="26"/>
    </row>
    <row r="1424" spans="1:51" ht="12.75" customHeight="1" x14ac:dyDescent="0.25">
      <c r="A1424" s="26"/>
      <c r="B1424" s="66"/>
      <c r="C1424" s="67"/>
      <c r="D1424" s="67"/>
      <c r="E1424" s="26"/>
      <c r="F1424" s="26"/>
      <c r="G1424" s="26"/>
      <c r="H1424" s="26"/>
      <c r="I1424" s="26"/>
      <c r="J1424" s="26"/>
      <c r="K1424" s="26"/>
      <c r="L1424" s="26"/>
      <c r="M1424" s="26"/>
      <c r="N1424" s="26"/>
      <c r="O1424" s="26"/>
      <c r="P1424" s="26"/>
      <c r="Q1424" s="26"/>
      <c r="R1424" s="26"/>
      <c r="S1424" s="26"/>
      <c r="T1424" s="26"/>
      <c r="U1424" s="26"/>
      <c r="V1424" s="26"/>
      <c r="W1424" s="26"/>
      <c r="X1424" s="26"/>
      <c r="Y1424" s="26"/>
      <c r="Z1424" s="26"/>
      <c r="AA1424" s="26"/>
      <c r="AB1424" s="26"/>
      <c r="AC1424" s="26"/>
      <c r="AD1424" s="26"/>
      <c r="AE1424" s="26"/>
      <c r="AF1424" s="26"/>
      <c r="AG1424" s="26"/>
      <c r="AH1424" s="26"/>
      <c r="AI1424" s="26"/>
      <c r="AJ1424" s="26"/>
      <c r="AK1424" s="26"/>
      <c r="AL1424" s="26"/>
      <c r="AM1424" s="26"/>
      <c r="AN1424" s="26"/>
      <c r="AO1424" s="26"/>
      <c r="AP1424" s="26"/>
      <c r="AQ1424" s="26"/>
      <c r="AR1424" s="26"/>
      <c r="AS1424" s="26"/>
      <c r="AT1424" s="26"/>
      <c r="AU1424" s="26"/>
      <c r="AV1424" s="26"/>
      <c r="AW1424" s="26"/>
      <c r="AX1424" s="26"/>
      <c r="AY1424" s="26"/>
    </row>
    <row r="1425" spans="1:51" ht="12.75" customHeight="1" x14ac:dyDescent="0.25">
      <c r="A1425" s="26"/>
      <c r="B1425" s="66"/>
      <c r="C1425" s="67"/>
      <c r="D1425" s="67"/>
      <c r="E1425" s="26"/>
      <c r="F1425" s="26"/>
      <c r="G1425" s="26"/>
      <c r="H1425" s="26"/>
      <c r="I1425" s="26"/>
      <c r="J1425" s="26"/>
      <c r="K1425" s="26"/>
      <c r="L1425" s="26"/>
      <c r="M1425" s="26"/>
      <c r="N1425" s="26"/>
      <c r="O1425" s="26"/>
      <c r="P1425" s="26"/>
      <c r="Q1425" s="26"/>
      <c r="R1425" s="26"/>
      <c r="S1425" s="26"/>
      <c r="T1425" s="26"/>
      <c r="U1425" s="26"/>
      <c r="V1425" s="26"/>
      <c r="W1425" s="26"/>
      <c r="X1425" s="26"/>
      <c r="Y1425" s="26"/>
      <c r="Z1425" s="26"/>
      <c r="AA1425" s="26"/>
      <c r="AB1425" s="26"/>
      <c r="AC1425" s="26"/>
      <c r="AD1425" s="26"/>
      <c r="AE1425" s="26"/>
      <c r="AF1425" s="26"/>
      <c r="AG1425" s="26"/>
      <c r="AH1425" s="26"/>
      <c r="AI1425" s="26"/>
      <c r="AJ1425" s="26"/>
      <c r="AK1425" s="26"/>
      <c r="AL1425" s="26"/>
      <c r="AM1425" s="26"/>
      <c r="AN1425" s="26"/>
      <c r="AO1425" s="26"/>
      <c r="AP1425" s="26"/>
      <c r="AQ1425" s="26"/>
      <c r="AR1425" s="26"/>
      <c r="AS1425" s="26"/>
      <c r="AT1425" s="26"/>
      <c r="AU1425" s="26"/>
      <c r="AV1425" s="26"/>
      <c r="AW1425" s="26"/>
      <c r="AX1425" s="26"/>
      <c r="AY1425" s="26"/>
    </row>
    <row r="1426" spans="1:51" ht="12.75" customHeight="1" x14ac:dyDescent="0.25">
      <c r="A1426" s="26"/>
      <c r="B1426" s="66"/>
      <c r="C1426" s="67"/>
      <c r="D1426" s="67"/>
      <c r="E1426" s="26"/>
      <c r="F1426" s="26"/>
      <c r="G1426" s="26"/>
      <c r="H1426" s="26"/>
      <c r="I1426" s="26"/>
      <c r="J1426" s="26"/>
      <c r="K1426" s="26"/>
      <c r="L1426" s="26"/>
      <c r="M1426" s="26"/>
      <c r="N1426" s="26"/>
      <c r="O1426" s="26"/>
      <c r="P1426" s="26"/>
      <c r="Q1426" s="26"/>
      <c r="R1426" s="26"/>
      <c r="S1426" s="26"/>
      <c r="T1426" s="26"/>
      <c r="U1426" s="26"/>
      <c r="V1426" s="26"/>
      <c r="W1426" s="26"/>
      <c r="X1426" s="26"/>
      <c r="Y1426" s="26"/>
      <c r="Z1426" s="26"/>
      <c r="AA1426" s="26"/>
      <c r="AB1426" s="26"/>
      <c r="AC1426" s="26"/>
      <c r="AD1426" s="26"/>
      <c r="AE1426" s="26"/>
      <c r="AF1426" s="26"/>
      <c r="AG1426" s="26"/>
      <c r="AH1426" s="26"/>
      <c r="AI1426" s="26"/>
      <c r="AJ1426" s="26"/>
      <c r="AK1426" s="26"/>
      <c r="AL1426" s="26"/>
      <c r="AM1426" s="26"/>
      <c r="AN1426" s="26"/>
      <c r="AO1426" s="26"/>
      <c r="AP1426" s="26"/>
      <c r="AQ1426" s="26"/>
      <c r="AR1426" s="26"/>
      <c r="AS1426" s="26"/>
      <c r="AT1426" s="26"/>
      <c r="AU1426" s="26"/>
      <c r="AV1426" s="26"/>
      <c r="AW1426" s="26"/>
      <c r="AX1426" s="26"/>
      <c r="AY1426" s="26"/>
    </row>
    <row r="1427" spans="1:51" ht="12.75" customHeight="1" x14ac:dyDescent="0.25">
      <c r="A1427" s="26"/>
      <c r="B1427" s="66"/>
      <c r="C1427" s="67"/>
      <c r="D1427" s="67"/>
      <c r="E1427" s="26"/>
      <c r="F1427" s="26"/>
      <c r="G1427" s="26"/>
      <c r="H1427" s="26"/>
      <c r="I1427" s="26"/>
      <c r="J1427" s="26"/>
      <c r="K1427" s="26"/>
      <c r="L1427" s="26"/>
      <c r="M1427" s="26"/>
      <c r="N1427" s="26"/>
      <c r="O1427" s="26"/>
      <c r="P1427" s="26"/>
      <c r="Q1427" s="26"/>
      <c r="R1427" s="26"/>
      <c r="S1427" s="26"/>
      <c r="T1427" s="26"/>
      <c r="U1427" s="26"/>
      <c r="V1427" s="26"/>
      <c r="W1427" s="26"/>
      <c r="X1427" s="26"/>
      <c r="Y1427" s="26"/>
      <c r="Z1427" s="26"/>
      <c r="AA1427" s="26"/>
      <c r="AB1427" s="26"/>
      <c r="AC1427" s="26"/>
      <c r="AD1427" s="26"/>
      <c r="AE1427" s="26"/>
      <c r="AF1427" s="26"/>
      <c r="AG1427" s="26"/>
      <c r="AH1427" s="26"/>
      <c r="AI1427" s="26"/>
      <c r="AJ1427" s="26"/>
      <c r="AK1427" s="26"/>
      <c r="AL1427" s="26"/>
      <c r="AM1427" s="26"/>
      <c r="AN1427" s="26"/>
      <c r="AO1427" s="26"/>
      <c r="AP1427" s="26"/>
      <c r="AQ1427" s="26"/>
      <c r="AR1427" s="26"/>
      <c r="AS1427" s="26"/>
      <c r="AT1427" s="26"/>
      <c r="AU1427" s="26"/>
      <c r="AV1427" s="26"/>
      <c r="AW1427" s="26"/>
      <c r="AX1427" s="26"/>
      <c r="AY1427" s="26"/>
    </row>
    <row r="1428" spans="1:51" ht="12.75" customHeight="1" x14ac:dyDescent="0.25">
      <c r="A1428" s="26"/>
      <c r="B1428" s="66"/>
      <c r="C1428" s="67"/>
      <c r="D1428" s="67"/>
      <c r="E1428" s="26"/>
      <c r="F1428" s="26"/>
      <c r="G1428" s="26"/>
      <c r="H1428" s="26"/>
      <c r="I1428" s="26"/>
      <c r="J1428" s="26"/>
      <c r="K1428" s="26"/>
      <c r="L1428" s="26"/>
      <c r="M1428" s="26"/>
      <c r="N1428" s="26"/>
      <c r="O1428" s="26"/>
      <c r="P1428" s="26"/>
      <c r="Q1428" s="26"/>
      <c r="R1428" s="26"/>
      <c r="S1428" s="26"/>
      <c r="T1428" s="26"/>
      <c r="U1428" s="26"/>
      <c r="V1428" s="26"/>
      <c r="W1428" s="26"/>
      <c r="X1428" s="26"/>
      <c r="Y1428" s="26"/>
      <c r="Z1428" s="26"/>
      <c r="AA1428" s="26"/>
      <c r="AB1428" s="26"/>
      <c r="AC1428" s="26"/>
      <c r="AD1428" s="26"/>
      <c r="AE1428" s="26"/>
      <c r="AF1428" s="26"/>
      <c r="AG1428" s="26"/>
      <c r="AH1428" s="26"/>
      <c r="AI1428" s="26"/>
      <c r="AJ1428" s="26"/>
      <c r="AK1428" s="26"/>
      <c r="AL1428" s="26"/>
      <c r="AM1428" s="26"/>
      <c r="AN1428" s="26"/>
      <c r="AO1428" s="26"/>
      <c r="AP1428" s="26"/>
      <c r="AQ1428" s="26"/>
      <c r="AR1428" s="26"/>
      <c r="AS1428" s="26"/>
      <c r="AT1428" s="26"/>
      <c r="AU1428" s="26"/>
      <c r="AV1428" s="26"/>
      <c r="AW1428" s="26"/>
      <c r="AX1428" s="26"/>
      <c r="AY1428" s="26"/>
    </row>
    <row r="1429" spans="1:51" ht="12.75" customHeight="1" x14ac:dyDescent="0.25">
      <c r="A1429" s="26"/>
      <c r="B1429" s="66"/>
      <c r="C1429" s="67"/>
      <c r="D1429" s="67"/>
      <c r="E1429" s="26"/>
      <c r="F1429" s="26"/>
      <c r="G1429" s="26"/>
      <c r="H1429" s="26"/>
      <c r="I1429" s="26"/>
      <c r="J1429" s="26"/>
      <c r="K1429" s="26"/>
      <c r="L1429" s="26"/>
      <c r="M1429" s="26"/>
      <c r="N1429" s="26"/>
      <c r="O1429" s="26"/>
      <c r="P1429" s="26"/>
      <c r="Q1429" s="26"/>
      <c r="R1429" s="26"/>
      <c r="S1429" s="26"/>
      <c r="T1429" s="26"/>
      <c r="U1429" s="26"/>
      <c r="V1429" s="26"/>
      <c r="W1429" s="26"/>
      <c r="X1429" s="26"/>
      <c r="Y1429" s="26"/>
      <c r="Z1429" s="26"/>
      <c r="AA1429" s="26"/>
      <c r="AB1429" s="26"/>
      <c r="AC1429" s="26"/>
      <c r="AD1429" s="26"/>
      <c r="AE1429" s="26"/>
      <c r="AF1429" s="26"/>
      <c r="AG1429" s="26"/>
      <c r="AH1429" s="26"/>
      <c r="AI1429" s="26"/>
      <c r="AJ1429" s="26"/>
      <c r="AK1429" s="26"/>
      <c r="AL1429" s="26"/>
      <c r="AM1429" s="26"/>
      <c r="AN1429" s="26"/>
      <c r="AO1429" s="26"/>
      <c r="AP1429" s="26"/>
      <c r="AQ1429" s="26"/>
      <c r="AR1429" s="26"/>
      <c r="AS1429" s="26"/>
      <c r="AT1429" s="26"/>
      <c r="AU1429" s="26"/>
      <c r="AV1429" s="26"/>
      <c r="AW1429" s="26"/>
      <c r="AX1429" s="26"/>
      <c r="AY1429" s="26"/>
    </row>
    <row r="1430" spans="1:51" ht="12.75" customHeight="1" x14ac:dyDescent="0.25">
      <c r="A1430" s="26"/>
      <c r="B1430" s="66"/>
      <c r="C1430" s="67"/>
      <c r="D1430" s="67"/>
      <c r="E1430" s="26"/>
      <c r="F1430" s="26"/>
      <c r="G1430" s="26"/>
      <c r="H1430" s="26"/>
      <c r="I1430" s="26"/>
      <c r="J1430" s="26"/>
      <c r="K1430" s="26"/>
      <c r="L1430" s="26"/>
      <c r="M1430" s="26"/>
      <c r="N1430" s="26"/>
      <c r="O1430" s="26"/>
      <c r="P1430" s="26"/>
      <c r="Q1430" s="26"/>
      <c r="R1430" s="26"/>
      <c r="S1430" s="26"/>
      <c r="T1430" s="26"/>
      <c r="U1430" s="26"/>
      <c r="V1430" s="26"/>
      <c r="W1430" s="26"/>
      <c r="X1430" s="26"/>
      <c r="Y1430" s="26"/>
      <c r="Z1430" s="26"/>
      <c r="AA1430" s="26"/>
      <c r="AB1430" s="26"/>
      <c r="AC1430" s="26"/>
      <c r="AD1430" s="26"/>
      <c r="AE1430" s="26"/>
      <c r="AF1430" s="26"/>
      <c r="AG1430" s="26"/>
      <c r="AH1430" s="26"/>
      <c r="AI1430" s="26"/>
      <c r="AJ1430" s="26"/>
      <c r="AK1430" s="26"/>
      <c r="AL1430" s="26"/>
      <c r="AM1430" s="26"/>
      <c r="AN1430" s="26"/>
      <c r="AO1430" s="26"/>
      <c r="AP1430" s="26"/>
      <c r="AQ1430" s="26"/>
      <c r="AR1430" s="26"/>
      <c r="AS1430" s="26"/>
      <c r="AT1430" s="26"/>
      <c r="AU1430" s="26"/>
      <c r="AV1430" s="26"/>
      <c r="AW1430" s="26"/>
      <c r="AX1430" s="26"/>
      <c r="AY1430" s="26"/>
    </row>
    <row r="1431" spans="1:51" ht="12.75" customHeight="1" x14ac:dyDescent="0.25">
      <c r="A1431" s="26"/>
      <c r="B1431" s="66"/>
      <c r="C1431" s="67"/>
      <c r="D1431" s="67"/>
      <c r="E1431" s="26"/>
      <c r="F1431" s="26"/>
      <c r="G1431" s="26"/>
      <c r="H1431" s="26"/>
      <c r="I1431" s="26"/>
      <c r="J1431" s="26"/>
      <c r="K1431" s="26"/>
      <c r="L1431" s="26"/>
      <c r="M1431" s="26"/>
      <c r="N1431" s="26"/>
      <c r="O1431" s="26"/>
      <c r="P1431" s="26"/>
      <c r="Q1431" s="26"/>
      <c r="R1431" s="26"/>
      <c r="S1431" s="26"/>
      <c r="T1431" s="26"/>
      <c r="U1431" s="26"/>
      <c r="V1431" s="26"/>
      <c r="W1431" s="26"/>
      <c r="X1431" s="26"/>
      <c r="Y1431" s="26"/>
      <c r="Z1431" s="26"/>
      <c r="AA1431" s="26"/>
      <c r="AB1431" s="26"/>
      <c r="AC1431" s="26"/>
      <c r="AD1431" s="26"/>
      <c r="AE1431" s="26"/>
      <c r="AF1431" s="26"/>
      <c r="AG1431" s="26"/>
      <c r="AH1431" s="26"/>
      <c r="AI1431" s="26"/>
      <c r="AJ1431" s="26"/>
      <c r="AK1431" s="26"/>
      <c r="AL1431" s="26"/>
      <c r="AM1431" s="26"/>
      <c r="AN1431" s="26"/>
      <c r="AO1431" s="26"/>
      <c r="AP1431" s="26"/>
      <c r="AQ1431" s="26"/>
      <c r="AR1431" s="26"/>
      <c r="AS1431" s="26"/>
      <c r="AT1431" s="26"/>
      <c r="AU1431" s="26"/>
      <c r="AV1431" s="26"/>
      <c r="AW1431" s="26"/>
      <c r="AX1431" s="26"/>
      <c r="AY1431" s="26"/>
    </row>
    <row r="1432" spans="1:51" ht="12.75" customHeight="1" x14ac:dyDescent="0.25">
      <c r="A1432" s="26"/>
      <c r="B1432" s="66"/>
      <c r="C1432" s="67"/>
      <c r="D1432" s="67"/>
      <c r="E1432" s="26"/>
      <c r="F1432" s="26"/>
      <c r="G1432" s="26"/>
      <c r="H1432" s="26"/>
      <c r="I1432" s="26"/>
      <c r="J1432" s="26"/>
      <c r="K1432" s="26"/>
      <c r="L1432" s="26"/>
      <c r="M1432" s="26"/>
      <c r="N1432" s="26"/>
      <c r="O1432" s="26"/>
      <c r="P1432" s="26"/>
      <c r="Q1432" s="26"/>
      <c r="R1432" s="26"/>
      <c r="S1432" s="26"/>
      <c r="T1432" s="26"/>
      <c r="U1432" s="26"/>
      <c r="V1432" s="26"/>
      <c r="W1432" s="26"/>
      <c r="X1432" s="26"/>
      <c r="Y1432" s="26"/>
      <c r="Z1432" s="26"/>
      <c r="AA1432" s="26"/>
      <c r="AB1432" s="26"/>
      <c r="AC1432" s="26"/>
      <c r="AD1432" s="26"/>
      <c r="AE1432" s="26"/>
      <c r="AF1432" s="26"/>
      <c r="AG1432" s="26"/>
      <c r="AH1432" s="26"/>
      <c r="AI1432" s="26"/>
      <c r="AJ1432" s="26"/>
      <c r="AK1432" s="26"/>
      <c r="AL1432" s="26"/>
      <c r="AM1432" s="26"/>
      <c r="AN1432" s="26"/>
      <c r="AO1432" s="26"/>
      <c r="AP1432" s="26"/>
      <c r="AQ1432" s="26"/>
      <c r="AR1432" s="26"/>
      <c r="AS1432" s="26"/>
      <c r="AT1432" s="26"/>
      <c r="AU1432" s="26"/>
      <c r="AV1432" s="26"/>
      <c r="AW1432" s="26"/>
      <c r="AX1432" s="26"/>
      <c r="AY1432" s="26"/>
    </row>
    <row r="1433" spans="1:51" ht="12.75" customHeight="1" x14ac:dyDescent="0.25">
      <c r="A1433" s="26"/>
      <c r="B1433" s="66"/>
      <c r="C1433" s="67"/>
      <c r="D1433" s="67"/>
      <c r="E1433" s="26"/>
      <c r="F1433" s="26"/>
      <c r="G1433" s="26"/>
      <c r="H1433" s="26"/>
      <c r="I1433" s="26"/>
      <c r="J1433" s="26"/>
      <c r="K1433" s="26"/>
      <c r="L1433" s="26"/>
      <c r="M1433" s="26"/>
      <c r="N1433" s="26"/>
      <c r="O1433" s="26"/>
      <c r="P1433" s="26"/>
      <c r="Q1433" s="26"/>
      <c r="R1433" s="26"/>
      <c r="S1433" s="26"/>
      <c r="T1433" s="26"/>
      <c r="U1433" s="26"/>
      <c r="V1433" s="26"/>
      <c r="W1433" s="26"/>
      <c r="X1433" s="26"/>
      <c r="Y1433" s="26"/>
      <c r="Z1433" s="26"/>
      <c r="AA1433" s="26"/>
      <c r="AB1433" s="26"/>
      <c r="AC1433" s="26"/>
      <c r="AD1433" s="26"/>
      <c r="AE1433" s="26"/>
      <c r="AF1433" s="26"/>
      <c r="AG1433" s="26"/>
      <c r="AH1433" s="26"/>
      <c r="AI1433" s="26"/>
      <c r="AJ1433" s="26"/>
      <c r="AK1433" s="26"/>
      <c r="AL1433" s="26"/>
      <c r="AM1433" s="26"/>
      <c r="AN1433" s="26"/>
      <c r="AO1433" s="26"/>
      <c r="AP1433" s="26"/>
      <c r="AQ1433" s="26"/>
      <c r="AR1433" s="26"/>
      <c r="AS1433" s="26"/>
      <c r="AT1433" s="26"/>
      <c r="AU1433" s="26"/>
      <c r="AV1433" s="26"/>
      <c r="AW1433" s="26"/>
      <c r="AX1433" s="26"/>
      <c r="AY1433" s="26"/>
    </row>
    <row r="1434" spans="1:51" ht="12.75" customHeight="1" x14ac:dyDescent="0.25">
      <c r="A1434" s="26"/>
      <c r="B1434" s="66"/>
      <c r="C1434" s="67"/>
      <c r="D1434" s="67"/>
      <c r="E1434" s="26"/>
      <c r="F1434" s="26"/>
      <c r="G1434" s="26"/>
      <c r="H1434" s="26"/>
      <c r="I1434" s="26"/>
      <c r="J1434" s="26"/>
      <c r="K1434" s="26"/>
      <c r="L1434" s="26"/>
      <c r="M1434" s="26"/>
      <c r="N1434" s="26"/>
      <c r="O1434" s="26"/>
      <c r="P1434" s="26"/>
      <c r="Q1434" s="26"/>
      <c r="R1434" s="26"/>
      <c r="S1434" s="26"/>
      <c r="T1434" s="26"/>
      <c r="U1434" s="26"/>
      <c r="V1434" s="26"/>
      <c r="W1434" s="26"/>
      <c r="X1434" s="26"/>
      <c r="Y1434" s="26"/>
      <c r="Z1434" s="26"/>
      <c r="AA1434" s="26"/>
      <c r="AB1434" s="26"/>
      <c r="AC1434" s="26"/>
      <c r="AD1434" s="26"/>
      <c r="AE1434" s="26"/>
      <c r="AF1434" s="26"/>
      <c r="AG1434" s="26"/>
      <c r="AH1434" s="26"/>
      <c r="AI1434" s="26"/>
      <c r="AJ1434" s="26"/>
      <c r="AK1434" s="26"/>
      <c r="AL1434" s="26"/>
      <c r="AM1434" s="26"/>
      <c r="AN1434" s="26"/>
      <c r="AO1434" s="26"/>
      <c r="AP1434" s="26"/>
      <c r="AQ1434" s="26"/>
      <c r="AR1434" s="26"/>
      <c r="AS1434" s="26"/>
      <c r="AT1434" s="26"/>
      <c r="AU1434" s="26"/>
      <c r="AV1434" s="26"/>
      <c r="AW1434" s="26"/>
      <c r="AX1434" s="26"/>
      <c r="AY1434" s="26"/>
    </row>
    <row r="1435" spans="1:51" ht="12.75" customHeight="1" x14ac:dyDescent="0.25">
      <c r="A1435" s="26"/>
      <c r="B1435" s="66"/>
      <c r="C1435" s="67"/>
      <c r="D1435" s="67"/>
      <c r="E1435" s="26"/>
      <c r="F1435" s="26"/>
      <c r="G1435" s="26"/>
      <c r="H1435" s="26"/>
      <c r="I1435" s="26"/>
      <c r="J1435" s="26"/>
      <c r="K1435" s="26"/>
      <c r="L1435" s="26"/>
      <c r="M1435" s="26"/>
      <c r="N1435" s="26"/>
      <c r="O1435" s="26"/>
      <c r="P1435" s="26"/>
      <c r="Q1435" s="26"/>
      <c r="R1435" s="26"/>
      <c r="S1435" s="26"/>
      <c r="T1435" s="26"/>
      <c r="U1435" s="26"/>
      <c r="V1435" s="26"/>
      <c r="W1435" s="26"/>
      <c r="X1435" s="26"/>
      <c r="Y1435" s="26"/>
      <c r="Z1435" s="26"/>
      <c r="AA1435" s="26"/>
      <c r="AB1435" s="26"/>
      <c r="AC1435" s="26"/>
      <c r="AD1435" s="26"/>
      <c r="AE1435" s="26"/>
      <c r="AF1435" s="26"/>
      <c r="AG1435" s="26"/>
      <c r="AH1435" s="26"/>
      <c r="AI1435" s="26"/>
      <c r="AJ1435" s="26"/>
      <c r="AK1435" s="26"/>
      <c r="AL1435" s="26"/>
      <c r="AM1435" s="26"/>
      <c r="AN1435" s="26"/>
      <c r="AO1435" s="26"/>
      <c r="AP1435" s="26"/>
      <c r="AQ1435" s="26"/>
      <c r="AR1435" s="26"/>
      <c r="AS1435" s="26"/>
      <c r="AT1435" s="26"/>
      <c r="AU1435" s="26"/>
      <c r="AV1435" s="26"/>
      <c r="AW1435" s="26"/>
      <c r="AX1435" s="26"/>
      <c r="AY1435" s="26"/>
    </row>
    <row r="1436" spans="1:51" ht="12.75" customHeight="1" x14ac:dyDescent="0.25">
      <c r="A1436" s="26"/>
      <c r="B1436" s="66"/>
      <c r="C1436" s="67"/>
      <c r="D1436" s="67"/>
      <c r="E1436" s="26"/>
      <c r="F1436" s="26"/>
      <c r="G1436" s="26"/>
      <c r="H1436" s="26"/>
      <c r="I1436" s="26"/>
      <c r="J1436" s="26"/>
      <c r="K1436" s="26"/>
      <c r="L1436" s="26"/>
      <c r="M1436" s="26"/>
      <c r="N1436" s="26"/>
      <c r="O1436" s="26"/>
      <c r="P1436" s="26"/>
      <c r="Q1436" s="26"/>
      <c r="R1436" s="26"/>
      <c r="S1436" s="26"/>
      <c r="T1436" s="26"/>
      <c r="U1436" s="26"/>
      <c r="V1436" s="26"/>
      <c r="W1436" s="26"/>
      <c r="X1436" s="26"/>
      <c r="Y1436" s="26"/>
      <c r="Z1436" s="26"/>
      <c r="AA1436" s="26"/>
      <c r="AB1436" s="26"/>
      <c r="AC1436" s="26"/>
      <c r="AD1436" s="26"/>
      <c r="AE1436" s="26"/>
      <c r="AF1436" s="26"/>
      <c r="AG1436" s="26"/>
      <c r="AH1436" s="26"/>
      <c r="AI1436" s="26"/>
      <c r="AJ1436" s="26"/>
      <c r="AK1436" s="26"/>
      <c r="AL1436" s="26"/>
      <c r="AM1436" s="26"/>
      <c r="AN1436" s="26"/>
      <c r="AO1436" s="26"/>
      <c r="AP1436" s="26"/>
      <c r="AQ1436" s="26"/>
      <c r="AR1436" s="26"/>
      <c r="AS1436" s="26"/>
      <c r="AT1436" s="26"/>
      <c r="AU1436" s="26"/>
      <c r="AV1436" s="26"/>
      <c r="AW1436" s="26"/>
      <c r="AX1436" s="26"/>
      <c r="AY1436" s="26"/>
    </row>
    <row r="1437" spans="1:51" ht="12.75" customHeight="1" x14ac:dyDescent="0.25">
      <c r="A1437" s="26"/>
      <c r="B1437" s="66"/>
      <c r="C1437" s="67"/>
      <c r="D1437" s="67"/>
      <c r="E1437" s="26"/>
      <c r="F1437" s="26"/>
      <c r="G1437" s="26"/>
      <c r="H1437" s="26"/>
      <c r="I1437" s="26"/>
      <c r="J1437" s="26"/>
      <c r="K1437" s="26"/>
      <c r="L1437" s="26"/>
      <c r="M1437" s="26"/>
      <c r="N1437" s="26"/>
      <c r="O1437" s="26"/>
      <c r="P1437" s="26"/>
      <c r="Q1437" s="26"/>
      <c r="R1437" s="26"/>
      <c r="S1437" s="26"/>
      <c r="T1437" s="26"/>
      <c r="U1437" s="26"/>
      <c r="V1437" s="26"/>
      <c r="W1437" s="26"/>
      <c r="X1437" s="26"/>
      <c r="Y1437" s="26"/>
      <c r="Z1437" s="26"/>
      <c r="AA1437" s="26"/>
      <c r="AB1437" s="26"/>
      <c r="AC1437" s="26"/>
      <c r="AD1437" s="26"/>
      <c r="AE1437" s="26"/>
      <c r="AF1437" s="26"/>
      <c r="AG1437" s="26"/>
      <c r="AH1437" s="26"/>
      <c r="AI1437" s="26"/>
      <c r="AJ1437" s="26"/>
      <c r="AK1437" s="26"/>
      <c r="AL1437" s="26"/>
      <c r="AM1437" s="26"/>
      <c r="AN1437" s="26"/>
      <c r="AO1437" s="26"/>
      <c r="AP1437" s="26"/>
      <c r="AQ1437" s="26"/>
      <c r="AR1437" s="26"/>
      <c r="AS1437" s="26"/>
      <c r="AT1437" s="26"/>
      <c r="AU1437" s="26"/>
      <c r="AV1437" s="26"/>
      <c r="AW1437" s="26"/>
      <c r="AX1437" s="26"/>
      <c r="AY1437" s="26"/>
    </row>
    <row r="1438" spans="1:51" ht="12.75" customHeight="1" x14ac:dyDescent="0.25">
      <c r="A1438" s="26"/>
      <c r="B1438" s="66"/>
      <c r="C1438" s="67"/>
      <c r="D1438" s="67"/>
      <c r="E1438" s="26"/>
      <c r="F1438" s="26"/>
      <c r="G1438" s="26"/>
      <c r="H1438" s="26"/>
      <c r="I1438" s="26"/>
      <c r="J1438" s="26"/>
      <c r="K1438" s="26"/>
      <c r="L1438" s="26"/>
      <c r="M1438" s="26"/>
      <c r="N1438" s="26"/>
      <c r="O1438" s="26"/>
      <c r="P1438" s="26"/>
      <c r="Q1438" s="26"/>
      <c r="R1438" s="26"/>
      <c r="S1438" s="26"/>
      <c r="T1438" s="26"/>
      <c r="U1438" s="26"/>
      <c r="V1438" s="26"/>
      <c r="W1438" s="26"/>
      <c r="X1438" s="26"/>
      <c r="Y1438" s="26"/>
      <c r="Z1438" s="26"/>
      <c r="AA1438" s="26"/>
      <c r="AB1438" s="26"/>
      <c r="AC1438" s="26"/>
      <c r="AD1438" s="26"/>
      <c r="AE1438" s="26"/>
      <c r="AF1438" s="26"/>
      <c r="AG1438" s="26"/>
      <c r="AH1438" s="26"/>
      <c r="AI1438" s="26"/>
      <c r="AJ1438" s="26"/>
      <c r="AK1438" s="26"/>
      <c r="AL1438" s="26"/>
      <c r="AM1438" s="26"/>
      <c r="AN1438" s="26"/>
      <c r="AO1438" s="26"/>
      <c r="AP1438" s="26"/>
      <c r="AQ1438" s="26"/>
      <c r="AR1438" s="26"/>
      <c r="AS1438" s="26"/>
      <c r="AT1438" s="26"/>
      <c r="AU1438" s="26"/>
      <c r="AV1438" s="26"/>
      <c r="AW1438" s="26"/>
      <c r="AX1438" s="26"/>
      <c r="AY1438" s="26"/>
    </row>
    <row r="1439" spans="1:51" ht="12.75" customHeight="1" x14ac:dyDescent="0.25">
      <c r="A1439" s="26"/>
      <c r="B1439" s="66"/>
      <c r="C1439" s="67"/>
      <c r="D1439" s="67"/>
      <c r="E1439" s="26"/>
      <c r="F1439" s="26"/>
      <c r="G1439" s="26"/>
      <c r="H1439" s="26"/>
      <c r="I1439" s="26"/>
      <c r="J1439" s="26"/>
      <c r="K1439" s="26"/>
      <c r="L1439" s="26"/>
      <c r="M1439" s="26"/>
      <c r="N1439" s="26"/>
      <c r="O1439" s="26"/>
      <c r="P1439" s="26"/>
      <c r="Q1439" s="26"/>
      <c r="R1439" s="26"/>
      <c r="S1439" s="26"/>
      <c r="T1439" s="26"/>
      <c r="U1439" s="26"/>
      <c r="V1439" s="26"/>
      <c r="W1439" s="26"/>
      <c r="X1439" s="26"/>
      <c r="Y1439" s="26"/>
      <c r="Z1439" s="26"/>
      <c r="AA1439" s="26"/>
      <c r="AB1439" s="26"/>
      <c r="AC1439" s="26"/>
      <c r="AD1439" s="26"/>
      <c r="AE1439" s="26"/>
      <c r="AF1439" s="26"/>
      <c r="AG1439" s="26"/>
      <c r="AH1439" s="26"/>
      <c r="AI1439" s="26"/>
      <c r="AJ1439" s="26"/>
      <c r="AK1439" s="26"/>
      <c r="AL1439" s="26"/>
      <c r="AM1439" s="26"/>
      <c r="AN1439" s="26"/>
      <c r="AO1439" s="26"/>
      <c r="AP1439" s="26"/>
      <c r="AQ1439" s="26"/>
      <c r="AR1439" s="26"/>
      <c r="AS1439" s="26"/>
      <c r="AT1439" s="26"/>
      <c r="AU1439" s="26"/>
      <c r="AV1439" s="26"/>
      <c r="AW1439" s="26"/>
      <c r="AX1439" s="26"/>
      <c r="AY1439" s="26"/>
    </row>
    <row r="1440" spans="1:51" ht="12.75" customHeight="1" x14ac:dyDescent="0.25">
      <c r="A1440" s="26"/>
      <c r="B1440" s="66"/>
      <c r="C1440" s="67"/>
      <c r="D1440" s="67"/>
      <c r="E1440" s="26"/>
      <c r="F1440" s="26"/>
      <c r="G1440" s="26"/>
      <c r="H1440" s="26"/>
      <c r="I1440" s="26"/>
      <c r="J1440" s="26"/>
      <c r="K1440" s="26"/>
      <c r="L1440" s="26"/>
      <c r="M1440" s="26"/>
      <c r="N1440" s="26"/>
      <c r="O1440" s="26"/>
      <c r="P1440" s="26"/>
      <c r="Q1440" s="26"/>
      <c r="R1440" s="26"/>
      <c r="S1440" s="26"/>
      <c r="T1440" s="26"/>
      <c r="U1440" s="26"/>
      <c r="V1440" s="26"/>
      <c r="W1440" s="26"/>
      <c r="X1440" s="26"/>
      <c r="Y1440" s="26"/>
      <c r="Z1440" s="26"/>
      <c r="AA1440" s="26"/>
      <c r="AB1440" s="26"/>
      <c r="AC1440" s="26"/>
      <c r="AD1440" s="26"/>
      <c r="AE1440" s="26"/>
      <c r="AF1440" s="26"/>
      <c r="AG1440" s="26"/>
      <c r="AH1440" s="26"/>
      <c r="AI1440" s="26"/>
      <c r="AJ1440" s="26"/>
      <c r="AK1440" s="26"/>
      <c r="AL1440" s="26"/>
      <c r="AM1440" s="26"/>
      <c r="AN1440" s="26"/>
      <c r="AO1440" s="26"/>
      <c r="AP1440" s="26"/>
      <c r="AQ1440" s="26"/>
      <c r="AR1440" s="26"/>
      <c r="AS1440" s="26"/>
      <c r="AT1440" s="26"/>
      <c r="AU1440" s="26"/>
      <c r="AV1440" s="26"/>
      <c r="AW1440" s="26"/>
      <c r="AX1440" s="26"/>
      <c r="AY1440" s="26"/>
    </row>
    <row r="1441" spans="1:51" ht="12.75" customHeight="1" x14ac:dyDescent="0.25">
      <c r="A1441" s="26"/>
      <c r="B1441" s="66"/>
      <c r="C1441" s="67"/>
      <c r="D1441" s="67"/>
      <c r="E1441" s="26"/>
      <c r="F1441" s="26"/>
      <c r="G1441" s="26"/>
      <c r="H1441" s="26"/>
      <c r="I1441" s="26"/>
      <c r="J1441" s="26"/>
      <c r="K1441" s="26"/>
      <c r="L1441" s="26"/>
      <c r="M1441" s="26"/>
      <c r="N1441" s="26"/>
      <c r="O1441" s="26"/>
      <c r="P1441" s="26"/>
      <c r="Q1441" s="26"/>
      <c r="R1441" s="26"/>
      <c r="S1441" s="26"/>
      <c r="T1441" s="26"/>
      <c r="U1441" s="26"/>
      <c r="V1441" s="26"/>
      <c r="W1441" s="26"/>
      <c r="X1441" s="26"/>
      <c r="Y1441" s="26"/>
      <c r="Z1441" s="26"/>
      <c r="AA1441" s="26"/>
      <c r="AB1441" s="26"/>
      <c r="AC1441" s="26"/>
      <c r="AD1441" s="26"/>
      <c r="AE1441" s="26"/>
      <c r="AF1441" s="26"/>
      <c r="AG1441" s="26"/>
      <c r="AH1441" s="26"/>
      <c r="AI1441" s="26"/>
      <c r="AJ1441" s="26"/>
      <c r="AK1441" s="26"/>
      <c r="AL1441" s="26"/>
      <c r="AM1441" s="26"/>
      <c r="AN1441" s="26"/>
      <c r="AO1441" s="26"/>
      <c r="AP1441" s="26"/>
      <c r="AQ1441" s="26"/>
      <c r="AR1441" s="26"/>
      <c r="AS1441" s="26"/>
      <c r="AT1441" s="26"/>
      <c r="AU1441" s="26"/>
      <c r="AV1441" s="26"/>
      <c r="AW1441" s="26"/>
      <c r="AX1441" s="26"/>
      <c r="AY1441" s="26"/>
    </row>
    <row r="1442" spans="1:51" ht="12.75" customHeight="1" x14ac:dyDescent="0.25">
      <c r="A1442" s="26"/>
      <c r="B1442" s="66"/>
      <c r="C1442" s="67"/>
      <c r="D1442" s="67"/>
      <c r="E1442" s="26"/>
      <c r="F1442" s="26"/>
      <c r="G1442" s="26"/>
      <c r="H1442" s="26"/>
      <c r="I1442" s="26"/>
      <c r="J1442" s="26"/>
      <c r="K1442" s="26"/>
      <c r="L1442" s="26"/>
      <c r="M1442" s="26"/>
      <c r="N1442" s="26"/>
      <c r="O1442" s="26"/>
      <c r="P1442" s="26"/>
      <c r="Q1442" s="26"/>
      <c r="R1442" s="26"/>
      <c r="S1442" s="26"/>
      <c r="T1442" s="26"/>
      <c r="U1442" s="26"/>
      <c r="V1442" s="26"/>
      <c r="W1442" s="26"/>
      <c r="X1442" s="26"/>
      <c r="Y1442" s="26"/>
      <c r="Z1442" s="26"/>
      <c r="AA1442" s="26"/>
      <c r="AB1442" s="26"/>
      <c r="AC1442" s="26"/>
      <c r="AD1442" s="26"/>
      <c r="AE1442" s="26"/>
      <c r="AF1442" s="26"/>
      <c r="AG1442" s="26"/>
      <c r="AH1442" s="26"/>
      <c r="AI1442" s="26"/>
      <c r="AJ1442" s="26"/>
      <c r="AK1442" s="26"/>
      <c r="AL1442" s="26"/>
      <c r="AM1442" s="26"/>
      <c r="AN1442" s="26"/>
      <c r="AO1442" s="26"/>
      <c r="AP1442" s="26"/>
      <c r="AQ1442" s="26"/>
      <c r="AR1442" s="26"/>
      <c r="AS1442" s="26"/>
      <c r="AT1442" s="26"/>
      <c r="AU1442" s="26"/>
      <c r="AV1442" s="26"/>
      <c r="AW1442" s="26"/>
      <c r="AX1442" s="26"/>
      <c r="AY1442" s="26"/>
    </row>
    <row r="1443" spans="1:51" ht="12.75" customHeight="1" x14ac:dyDescent="0.25">
      <c r="A1443" s="26"/>
      <c r="B1443" s="66"/>
      <c r="C1443" s="67"/>
      <c r="D1443" s="67"/>
      <c r="E1443" s="26"/>
      <c r="F1443" s="26"/>
      <c r="G1443" s="26"/>
      <c r="H1443" s="26"/>
      <c r="I1443" s="26"/>
      <c r="J1443" s="26"/>
      <c r="K1443" s="26"/>
      <c r="L1443" s="26"/>
      <c r="M1443" s="26"/>
      <c r="N1443" s="26"/>
      <c r="O1443" s="26"/>
      <c r="P1443" s="26"/>
      <c r="Q1443" s="26"/>
      <c r="R1443" s="26"/>
      <c r="S1443" s="26"/>
      <c r="T1443" s="26"/>
      <c r="U1443" s="26"/>
      <c r="V1443" s="26"/>
      <c r="W1443" s="26"/>
      <c r="X1443" s="26"/>
      <c r="Y1443" s="26"/>
      <c r="Z1443" s="26"/>
      <c r="AA1443" s="26"/>
      <c r="AB1443" s="26"/>
      <c r="AC1443" s="26"/>
      <c r="AD1443" s="26"/>
      <c r="AE1443" s="26"/>
      <c r="AF1443" s="26"/>
      <c r="AG1443" s="26"/>
      <c r="AH1443" s="26"/>
      <c r="AI1443" s="26"/>
      <c r="AJ1443" s="26"/>
      <c r="AK1443" s="26"/>
      <c r="AL1443" s="26"/>
      <c r="AM1443" s="26"/>
      <c r="AN1443" s="26"/>
      <c r="AO1443" s="26"/>
      <c r="AP1443" s="26"/>
      <c r="AQ1443" s="26"/>
      <c r="AR1443" s="26"/>
      <c r="AS1443" s="26"/>
      <c r="AT1443" s="26"/>
      <c r="AU1443" s="26"/>
      <c r="AV1443" s="26"/>
      <c r="AW1443" s="26"/>
      <c r="AX1443" s="26"/>
      <c r="AY1443" s="26"/>
    </row>
    <row r="1444" spans="1:51" ht="12.75" customHeight="1" x14ac:dyDescent="0.25">
      <c r="A1444" s="26"/>
      <c r="B1444" s="66"/>
      <c r="C1444" s="67"/>
      <c r="D1444" s="67"/>
      <c r="E1444" s="26"/>
      <c r="F1444" s="26"/>
      <c r="G1444" s="26"/>
      <c r="H1444" s="26"/>
      <c r="I1444" s="26"/>
      <c r="J1444" s="26"/>
      <c r="K1444" s="26"/>
      <c r="L1444" s="26"/>
      <c r="M1444" s="26"/>
      <c r="N1444" s="26"/>
      <c r="O1444" s="26"/>
      <c r="P1444" s="26"/>
      <c r="Q1444" s="26"/>
      <c r="R1444" s="26"/>
      <c r="S1444" s="26"/>
      <c r="T1444" s="26"/>
      <c r="U1444" s="26"/>
      <c r="V1444" s="26"/>
      <c r="W1444" s="26"/>
      <c r="X1444" s="26"/>
      <c r="Y1444" s="26"/>
      <c r="Z1444" s="26"/>
      <c r="AA1444" s="26"/>
      <c r="AB1444" s="26"/>
      <c r="AC1444" s="26"/>
      <c r="AD1444" s="26"/>
      <c r="AE1444" s="26"/>
      <c r="AF1444" s="26"/>
      <c r="AG1444" s="26"/>
      <c r="AH1444" s="26"/>
      <c r="AI1444" s="26"/>
      <c r="AJ1444" s="26"/>
      <c r="AK1444" s="26"/>
      <c r="AL1444" s="26"/>
      <c r="AM1444" s="26"/>
      <c r="AN1444" s="26"/>
      <c r="AO1444" s="26"/>
      <c r="AP1444" s="26"/>
      <c r="AQ1444" s="26"/>
      <c r="AR1444" s="26"/>
      <c r="AS1444" s="26"/>
      <c r="AT1444" s="26"/>
      <c r="AU1444" s="26"/>
      <c r="AV1444" s="26"/>
      <c r="AW1444" s="26"/>
      <c r="AX1444" s="26"/>
      <c r="AY1444" s="26"/>
    </row>
    <row r="1445" spans="1:51" ht="12.75" customHeight="1" x14ac:dyDescent="0.25">
      <c r="A1445" s="26"/>
      <c r="B1445" s="66"/>
      <c r="C1445" s="67"/>
      <c r="D1445" s="67"/>
      <c r="E1445" s="26"/>
      <c r="F1445" s="26"/>
      <c r="G1445" s="26"/>
      <c r="H1445" s="26"/>
      <c r="I1445" s="26"/>
      <c r="J1445" s="26"/>
      <c r="K1445" s="26"/>
      <c r="L1445" s="26"/>
      <c r="M1445" s="26"/>
      <c r="N1445" s="26"/>
      <c r="O1445" s="26"/>
      <c r="P1445" s="26"/>
      <c r="Q1445" s="26"/>
      <c r="R1445" s="26"/>
      <c r="S1445" s="26"/>
      <c r="T1445" s="26"/>
      <c r="U1445" s="26"/>
      <c r="V1445" s="26"/>
      <c r="W1445" s="26"/>
      <c r="X1445" s="26"/>
      <c r="Y1445" s="26"/>
      <c r="Z1445" s="26"/>
      <c r="AA1445" s="26"/>
      <c r="AB1445" s="26"/>
      <c r="AC1445" s="26"/>
      <c r="AD1445" s="26"/>
      <c r="AE1445" s="26"/>
      <c r="AF1445" s="26"/>
      <c r="AG1445" s="26"/>
      <c r="AH1445" s="26"/>
      <c r="AI1445" s="26"/>
      <c r="AJ1445" s="26"/>
      <c r="AK1445" s="26"/>
      <c r="AL1445" s="26"/>
      <c r="AM1445" s="26"/>
      <c r="AN1445" s="26"/>
      <c r="AO1445" s="26"/>
      <c r="AP1445" s="26"/>
      <c r="AQ1445" s="26"/>
      <c r="AR1445" s="26"/>
      <c r="AS1445" s="26"/>
      <c r="AT1445" s="26"/>
      <c r="AU1445" s="26"/>
      <c r="AV1445" s="26"/>
      <c r="AW1445" s="26"/>
      <c r="AX1445" s="26"/>
      <c r="AY1445" s="26"/>
    </row>
    <row r="1446" spans="1:51" ht="12.75" customHeight="1" x14ac:dyDescent="0.25">
      <c r="A1446" s="26"/>
      <c r="B1446" s="66"/>
      <c r="C1446" s="67"/>
      <c r="D1446" s="67"/>
      <c r="E1446" s="26"/>
      <c r="F1446" s="26"/>
      <c r="G1446" s="26"/>
      <c r="H1446" s="26"/>
      <c r="I1446" s="26"/>
      <c r="J1446" s="26"/>
      <c r="K1446" s="26"/>
      <c r="L1446" s="26"/>
      <c r="M1446" s="26"/>
      <c r="N1446" s="26"/>
      <c r="O1446" s="26"/>
      <c r="P1446" s="26"/>
      <c r="Q1446" s="26"/>
      <c r="R1446" s="26"/>
      <c r="S1446" s="26"/>
      <c r="T1446" s="26"/>
      <c r="U1446" s="26"/>
      <c r="V1446" s="26"/>
      <c r="W1446" s="26"/>
      <c r="X1446" s="26"/>
      <c r="Y1446" s="26"/>
      <c r="Z1446" s="26"/>
      <c r="AA1446" s="26"/>
      <c r="AB1446" s="26"/>
      <c r="AC1446" s="26"/>
      <c r="AD1446" s="26"/>
      <c r="AE1446" s="26"/>
      <c r="AF1446" s="26"/>
      <c r="AG1446" s="26"/>
      <c r="AH1446" s="26"/>
      <c r="AI1446" s="26"/>
      <c r="AJ1446" s="26"/>
      <c r="AK1446" s="26"/>
      <c r="AL1446" s="26"/>
      <c r="AM1446" s="26"/>
      <c r="AN1446" s="26"/>
      <c r="AO1446" s="26"/>
      <c r="AP1446" s="26"/>
      <c r="AQ1446" s="26"/>
      <c r="AR1446" s="26"/>
      <c r="AS1446" s="26"/>
      <c r="AT1446" s="26"/>
      <c r="AU1446" s="26"/>
      <c r="AV1446" s="26"/>
      <c r="AW1446" s="26"/>
      <c r="AX1446" s="26"/>
      <c r="AY1446" s="26"/>
    </row>
    <row r="1447" spans="1:51" ht="12.75" customHeight="1" x14ac:dyDescent="0.25">
      <c r="A1447" s="26"/>
      <c r="B1447" s="66"/>
      <c r="C1447" s="67"/>
      <c r="D1447" s="67"/>
      <c r="E1447" s="26"/>
      <c r="F1447" s="26"/>
      <c r="G1447" s="26"/>
      <c r="H1447" s="26"/>
      <c r="I1447" s="26"/>
      <c r="J1447" s="26"/>
      <c r="K1447" s="26"/>
      <c r="L1447" s="26"/>
      <c r="M1447" s="26"/>
      <c r="N1447" s="26"/>
      <c r="O1447" s="26"/>
      <c r="P1447" s="26"/>
      <c r="Q1447" s="26"/>
      <c r="R1447" s="26"/>
      <c r="S1447" s="26"/>
      <c r="T1447" s="26"/>
      <c r="U1447" s="26"/>
      <c r="V1447" s="26"/>
      <c r="W1447" s="26"/>
      <c r="X1447" s="26"/>
      <c r="Y1447" s="26"/>
      <c r="Z1447" s="26"/>
      <c r="AA1447" s="26"/>
      <c r="AB1447" s="26"/>
      <c r="AC1447" s="26"/>
      <c r="AD1447" s="26"/>
      <c r="AE1447" s="26"/>
      <c r="AF1447" s="26"/>
      <c r="AG1447" s="26"/>
      <c r="AH1447" s="26"/>
      <c r="AI1447" s="26"/>
      <c r="AJ1447" s="26"/>
      <c r="AK1447" s="26"/>
      <c r="AL1447" s="26"/>
      <c r="AM1447" s="26"/>
      <c r="AN1447" s="26"/>
      <c r="AO1447" s="26"/>
      <c r="AP1447" s="26"/>
      <c r="AQ1447" s="26"/>
      <c r="AR1447" s="26"/>
      <c r="AS1447" s="26"/>
      <c r="AT1447" s="26"/>
      <c r="AU1447" s="26"/>
      <c r="AV1447" s="26"/>
      <c r="AW1447" s="26"/>
      <c r="AX1447" s="26"/>
      <c r="AY1447" s="26"/>
    </row>
    <row r="1448" spans="1:51" ht="12.75" customHeight="1" x14ac:dyDescent="0.25">
      <c r="A1448" s="26"/>
      <c r="B1448" s="66"/>
      <c r="C1448" s="67"/>
      <c r="D1448" s="67"/>
      <c r="E1448" s="26"/>
      <c r="F1448" s="26"/>
      <c r="G1448" s="26"/>
      <c r="H1448" s="26"/>
      <c r="I1448" s="26"/>
      <c r="J1448" s="26"/>
      <c r="K1448" s="26"/>
      <c r="L1448" s="26"/>
      <c r="M1448" s="26"/>
      <c r="N1448" s="26"/>
      <c r="O1448" s="26"/>
      <c r="P1448" s="26"/>
      <c r="Q1448" s="26"/>
      <c r="R1448" s="26"/>
      <c r="S1448" s="26"/>
      <c r="T1448" s="26"/>
      <c r="U1448" s="26"/>
      <c r="V1448" s="26"/>
      <c r="W1448" s="26"/>
      <c r="X1448" s="26"/>
      <c r="Y1448" s="26"/>
      <c r="Z1448" s="26"/>
      <c r="AA1448" s="26"/>
      <c r="AB1448" s="26"/>
      <c r="AC1448" s="26"/>
      <c r="AD1448" s="26"/>
      <c r="AE1448" s="26"/>
      <c r="AF1448" s="26"/>
      <c r="AG1448" s="26"/>
      <c r="AH1448" s="26"/>
      <c r="AI1448" s="26"/>
      <c r="AJ1448" s="26"/>
      <c r="AK1448" s="26"/>
      <c r="AL1448" s="26"/>
      <c r="AM1448" s="26"/>
      <c r="AN1448" s="26"/>
      <c r="AO1448" s="26"/>
      <c r="AP1448" s="26"/>
      <c r="AQ1448" s="26"/>
      <c r="AR1448" s="26"/>
      <c r="AS1448" s="26"/>
      <c r="AT1448" s="26"/>
      <c r="AU1448" s="26"/>
      <c r="AV1448" s="26"/>
      <c r="AW1448" s="26"/>
      <c r="AX1448" s="26"/>
      <c r="AY1448" s="26"/>
    </row>
    <row r="1449" spans="1:51" ht="12.75" customHeight="1" x14ac:dyDescent="0.25">
      <c r="A1449" s="26"/>
      <c r="B1449" s="66"/>
      <c r="C1449" s="67"/>
      <c r="D1449" s="67"/>
      <c r="E1449" s="26"/>
      <c r="F1449" s="26"/>
      <c r="G1449" s="26"/>
      <c r="H1449" s="26"/>
      <c r="I1449" s="26"/>
      <c r="J1449" s="26"/>
      <c r="K1449" s="26"/>
      <c r="L1449" s="26"/>
      <c r="M1449" s="26"/>
      <c r="N1449" s="26"/>
      <c r="O1449" s="26"/>
      <c r="P1449" s="26"/>
      <c r="Q1449" s="26"/>
      <c r="R1449" s="26"/>
      <c r="S1449" s="26"/>
      <c r="T1449" s="26"/>
      <c r="U1449" s="26"/>
      <c r="V1449" s="26"/>
      <c r="W1449" s="26"/>
      <c r="X1449" s="26"/>
      <c r="Y1449" s="26"/>
      <c r="Z1449" s="26"/>
      <c r="AA1449" s="26"/>
      <c r="AB1449" s="26"/>
      <c r="AC1449" s="26"/>
      <c r="AD1449" s="26"/>
      <c r="AE1449" s="26"/>
      <c r="AF1449" s="26"/>
      <c r="AG1449" s="26"/>
      <c r="AH1449" s="26"/>
      <c r="AI1449" s="26"/>
      <c r="AJ1449" s="26"/>
      <c r="AK1449" s="26"/>
      <c r="AL1449" s="26"/>
      <c r="AM1449" s="26"/>
      <c r="AN1449" s="26"/>
      <c r="AO1449" s="26"/>
      <c r="AP1449" s="26"/>
      <c r="AQ1449" s="26"/>
      <c r="AR1449" s="26"/>
      <c r="AS1449" s="26"/>
      <c r="AT1449" s="26"/>
      <c r="AU1449" s="26"/>
      <c r="AV1449" s="26"/>
      <c r="AW1449" s="26"/>
      <c r="AX1449" s="26"/>
      <c r="AY1449" s="26"/>
    </row>
    <row r="1450" spans="1:51" ht="12.75" customHeight="1" x14ac:dyDescent="0.25">
      <c r="A1450" s="26"/>
      <c r="B1450" s="66"/>
      <c r="C1450" s="67"/>
      <c r="D1450" s="67"/>
      <c r="E1450" s="26"/>
      <c r="F1450" s="26"/>
      <c r="G1450" s="26"/>
      <c r="H1450" s="26"/>
      <c r="I1450" s="26"/>
      <c r="J1450" s="26"/>
      <c r="K1450" s="26"/>
      <c r="L1450" s="26"/>
      <c r="M1450" s="26"/>
      <c r="N1450" s="26"/>
      <c r="O1450" s="26"/>
      <c r="P1450" s="26"/>
      <c r="Q1450" s="26"/>
      <c r="R1450" s="26"/>
      <c r="S1450" s="26"/>
      <c r="T1450" s="26"/>
      <c r="U1450" s="26"/>
      <c r="V1450" s="26"/>
      <c r="W1450" s="26"/>
      <c r="X1450" s="26"/>
      <c r="Y1450" s="26"/>
      <c r="Z1450" s="26"/>
      <c r="AA1450" s="26"/>
      <c r="AB1450" s="26"/>
      <c r="AC1450" s="26"/>
      <c r="AD1450" s="26"/>
      <c r="AE1450" s="26"/>
      <c r="AF1450" s="26"/>
      <c r="AG1450" s="26"/>
      <c r="AH1450" s="26"/>
      <c r="AI1450" s="26"/>
      <c r="AJ1450" s="26"/>
      <c r="AK1450" s="26"/>
      <c r="AL1450" s="26"/>
      <c r="AM1450" s="26"/>
      <c r="AN1450" s="26"/>
      <c r="AO1450" s="26"/>
      <c r="AP1450" s="26"/>
      <c r="AQ1450" s="26"/>
      <c r="AR1450" s="26"/>
      <c r="AS1450" s="26"/>
      <c r="AT1450" s="26"/>
      <c r="AU1450" s="26"/>
      <c r="AV1450" s="26"/>
      <c r="AW1450" s="26"/>
      <c r="AX1450" s="26"/>
      <c r="AY1450" s="26"/>
    </row>
    <row r="1451" spans="1:51" ht="12.75" customHeight="1" x14ac:dyDescent="0.25">
      <c r="A1451" s="26"/>
      <c r="B1451" s="66"/>
      <c r="C1451" s="67"/>
      <c r="D1451" s="67"/>
      <c r="E1451" s="26"/>
      <c r="F1451" s="26"/>
      <c r="G1451" s="26"/>
      <c r="H1451" s="26"/>
      <c r="I1451" s="26"/>
      <c r="J1451" s="26"/>
      <c r="K1451" s="26"/>
      <c r="L1451" s="26"/>
      <c r="M1451" s="26"/>
      <c r="N1451" s="26"/>
      <c r="O1451" s="26"/>
      <c r="P1451" s="26"/>
      <c r="Q1451" s="26"/>
      <c r="R1451" s="26"/>
      <c r="S1451" s="26"/>
      <c r="T1451" s="26"/>
      <c r="U1451" s="26"/>
      <c r="V1451" s="26"/>
      <c r="W1451" s="26"/>
      <c r="X1451" s="26"/>
      <c r="Y1451" s="26"/>
      <c r="Z1451" s="26"/>
      <c r="AA1451" s="26"/>
      <c r="AB1451" s="26"/>
      <c r="AC1451" s="26"/>
      <c r="AD1451" s="26"/>
      <c r="AE1451" s="26"/>
      <c r="AF1451" s="26"/>
      <c r="AG1451" s="26"/>
      <c r="AH1451" s="26"/>
      <c r="AI1451" s="26"/>
      <c r="AJ1451" s="26"/>
      <c r="AK1451" s="26"/>
      <c r="AL1451" s="26"/>
      <c r="AM1451" s="26"/>
      <c r="AN1451" s="26"/>
      <c r="AO1451" s="26"/>
      <c r="AP1451" s="26"/>
      <c r="AQ1451" s="26"/>
      <c r="AR1451" s="26"/>
      <c r="AS1451" s="26"/>
      <c r="AT1451" s="26"/>
      <c r="AU1451" s="26"/>
      <c r="AV1451" s="26"/>
      <c r="AW1451" s="26"/>
      <c r="AX1451" s="26"/>
      <c r="AY1451" s="26"/>
    </row>
    <row r="1452" spans="1:51" ht="12.75" customHeight="1" x14ac:dyDescent="0.25">
      <c r="A1452" s="26"/>
      <c r="B1452" s="66"/>
      <c r="C1452" s="67"/>
      <c r="D1452" s="67"/>
      <c r="E1452" s="26"/>
      <c r="F1452" s="26"/>
      <c r="G1452" s="26"/>
      <c r="H1452" s="26"/>
      <c r="I1452" s="26"/>
      <c r="J1452" s="26"/>
      <c r="K1452" s="26"/>
      <c r="L1452" s="26"/>
      <c r="M1452" s="26"/>
      <c r="N1452" s="26"/>
      <c r="O1452" s="26"/>
      <c r="P1452" s="26"/>
      <c r="Q1452" s="26"/>
      <c r="R1452" s="26"/>
      <c r="S1452" s="26"/>
      <c r="T1452" s="26"/>
      <c r="U1452" s="26"/>
      <c r="V1452" s="26"/>
      <c r="W1452" s="26"/>
      <c r="X1452" s="26"/>
      <c r="Y1452" s="26"/>
      <c r="Z1452" s="26"/>
      <c r="AA1452" s="26"/>
      <c r="AB1452" s="26"/>
      <c r="AC1452" s="26"/>
      <c r="AD1452" s="26"/>
      <c r="AE1452" s="26"/>
      <c r="AF1452" s="26"/>
      <c r="AG1452" s="26"/>
      <c r="AH1452" s="26"/>
      <c r="AI1452" s="26"/>
      <c r="AJ1452" s="26"/>
      <c r="AK1452" s="26"/>
      <c r="AL1452" s="26"/>
      <c r="AM1452" s="26"/>
      <c r="AN1452" s="26"/>
      <c r="AO1452" s="26"/>
      <c r="AP1452" s="26"/>
      <c r="AQ1452" s="26"/>
      <c r="AR1452" s="26"/>
      <c r="AS1452" s="26"/>
      <c r="AT1452" s="26"/>
      <c r="AU1452" s="26"/>
      <c r="AV1452" s="26"/>
      <c r="AW1452" s="26"/>
      <c r="AX1452" s="26"/>
      <c r="AY1452" s="26"/>
    </row>
    <row r="1453" spans="1:51" ht="12.75" customHeight="1" x14ac:dyDescent="0.25">
      <c r="A1453" s="26"/>
      <c r="B1453" s="66"/>
      <c r="C1453" s="67"/>
      <c r="D1453" s="67"/>
      <c r="E1453" s="26"/>
      <c r="F1453" s="26"/>
      <c r="G1453" s="26"/>
      <c r="H1453" s="26"/>
      <c r="I1453" s="26"/>
      <c r="J1453" s="26"/>
      <c r="K1453" s="26"/>
      <c r="L1453" s="26"/>
      <c r="M1453" s="26"/>
      <c r="N1453" s="26"/>
      <c r="O1453" s="26"/>
      <c r="P1453" s="26"/>
      <c r="Q1453" s="26"/>
      <c r="R1453" s="26"/>
      <c r="S1453" s="26"/>
      <c r="T1453" s="26"/>
      <c r="U1453" s="26"/>
      <c r="V1453" s="26"/>
      <c r="W1453" s="26"/>
      <c r="X1453" s="26"/>
      <c r="Y1453" s="26"/>
      <c r="Z1453" s="26"/>
      <c r="AA1453" s="26"/>
      <c r="AB1453" s="26"/>
      <c r="AC1453" s="26"/>
      <c r="AD1453" s="26"/>
      <c r="AE1453" s="26"/>
      <c r="AF1453" s="26"/>
      <c r="AG1453" s="26"/>
      <c r="AH1453" s="26"/>
      <c r="AI1453" s="26"/>
      <c r="AJ1453" s="26"/>
      <c r="AK1453" s="26"/>
      <c r="AL1453" s="26"/>
      <c r="AM1453" s="26"/>
      <c r="AN1453" s="26"/>
      <c r="AO1453" s="26"/>
      <c r="AP1453" s="26"/>
      <c r="AQ1453" s="26"/>
      <c r="AR1453" s="26"/>
      <c r="AS1453" s="26"/>
      <c r="AT1453" s="26"/>
      <c r="AU1453" s="26"/>
      <c r="AV1453" s="26"/>
      <c r="AW1453" s="26"/>
      <c r="AX1453" s="26"/>
      <c r="AY1453" s="26"/>
    </row>
    <row r="1454" spans="1:51" ht="12.75" customHeight="1" x14ac:dyDescent="0.25">
      <c r="A1454" s="26"/>
      <c r="B1454" s="66"/>
      <c r="C1454" s="67"/>
      <c r="D1454" s="67"/>
      <c r="E1454" s="26"/>
      <c r="F1454" s="26"/>
      <c r="G1454" s="26"/>
      <c r="H1454" s="26"/>
      <c r="I1454" s="26"/>
      <c r="J1454" s="26"/>
      <c r="K1454" s="26"/>
      <c r="L1454" s="26"/>
      <c r="M1454" s="26"/>
      <c r="N1454" s="26"/>
      <c r="O1454" s="26"/>
      <c r="P1454" s="26"/>
      <c r="Q1454" s="26"/>
      <c r="R1454" s="26"/>
      <c r="S1454" s="26"/>
      <c r="T1454" s="26"/>
      <c r="U1454" s="26"/>
      <c r="V1454" s="26"/>
      <c r="W1454" s="26"/>
      <c r="X1454" s="26"/>
      <c r="Y1454" s="26"/>
      <c r="Z1454" s="26"/>
      <c r="AA1454" s="26"/>
      <c r="AB1454" s="26"/>
      <c r="AC1454" s="26"/>
      <c r="AD1454" s="26"/>
      <c r="AE1454" s="26"/>
      <c r="AF1454" s="26"/>
      <c r="AG1454" s="26"/>
      <c r="AH1454" s="26"/>
      <c r="AI1454" s="26"/>
      <c r="AJ1454" s="26"/>
      <c r="AK1454" s="26"/>
      <c r="AL1454" s="26"/>
      <c r="AM1454" s="26"/>
      <c r="AN1454" s="26"/>
      <c r="AO1454" s="26"/>
      <c r="AP1454" s="26"/>
      <c r="AQ1454" s="26"/>
      <c r="AR1454" s="26"/>
      <c r="AS1454" s="26"/>
      <c r="AT1454" s="26"/>
      <c r="AU1454" s="26"/>
      <c r="AV1454" s="26"/>
      <c r="AW1454" s="26"/>
      <c r="AX1454" s="26"/>
      <c r="AY1454" s="26"/>
    </row>
    <row r="1455" spans="1:51" ht="12.75" customHeight="1" x14ac:dyDescent="0.25">
      <c r="A1455" s="26"/>
      <c r="B1455" s="66"/>
      <c r="C1455" s="67"/>
      <c r="D1455" s="67"/>
      <c r="E1455" s="26"/>
      <c r="F1455" s="26"/>
      <c r="G1455" s="26"/>
      <c r="H1455" s="26"/>
      <c r="I1455" s="26"/>
      <c r="J1455" s="26"/>
      <c r="K1455" s="26"/>
      <c r="L1455" s="26"/>
      <c r="M1455" s="26"/>
      <c r="N1455" s="26"/>
      <c r="O1455" s="26"/>
      <c r="P1455" s="26"/>
      <c r="Q1455" s="26"/>
      <c r="R1455" s="26"/>
      <c r="S1455" s="26"/>
      <c r="T1455" s="26"/>
      <c r="U1455" s="26"/>
      <c r="V1455" s="26"/>
      <c r="W1455" s="26"/>
      <c r="X1455" s="26"/>
      <c r="Y1455" s="26"/>
      <c r="Z1455" s="26"/>
      <c r="AA1455" s="26"/>
      <c r="AB1455" s="26"/>
      <c r="AC1455" s="26"/>
      <c r="AD1455" s="26"/>
      <c r="AE1455" s="26"/>
      <c r="AF1455" s="26"/>
      <c r="AG1455" s="26"/>
      <c r="AH1455" s="26"/>
      <c r="AI1455" s="26"/>
      <c r="AJ1455" s="26"/>
      <c r="AK1455" s="26"/>
      <c r="AL1455" s="26"/>
      <c r="AM1455" s="26"/>
      <c r="AN1455" s="26"/>
      <c r="AO1455" s="26"/>
      <c r="AP1455" s="26"/>
      <c r="AQ1455" s="26"/>
      <c r="AR1455" s="26"/>
      <c r="AS1455" s="26"/>
      <c r="AT1455" s="26"/>
      <c r="AU1455" s="26"/>
      <c r="AV1455" s="26"/>
      <c r="AW1455" s="26"/>
      <c r="AX1455" s="26"/>
      <c r="AY1455" s="26"/>
    </row>
    <row r="1456" spans="1:51" ht="12.75" customHeight="1" x14ac:dyDescent="0.25">
      <c r="A1456" s="26"/>
      <c r="B1456" s="66"/>
      <c r="C1456" s="67"/>
      <c r="D1456" s="67"/>
      <c r="E1456" s="26"/>
      <c r="F1456" s="26"/>
      <c r="G1456" s="26"/>
      <c r="H1456" s="26"/>
      <c r="I1456" s="26"/>
      <c r="J1456" s="26"/>
      <c r="K1456" s="26"/>
      <c r="L1456" s="26"/>
      <c r="M1456" s="26"/>
      <c r="N1456" s="26"/>
      <c r="O1456" s="26"/>
      <c r="P1456" s="26"/>
      <c r="Q1456" s="26"/>
      <c r="R1456" s="26"/>
      <c r="S1456" s="26"/>
      <c r="T1456" s="26"/>
      <c r="U1456" s="26"/>
      <c r="V1456" s="26"/>
      <c r="W1456" s="26"/>
      <c r="X1456" s="26"/>
      <c r="Y1456" s="26"/>
      <c r="Z1456" s="26"/>
      <c r="AA1456" s="26"/>
      <c r="AB1456" s="26"/>
      <c r="AC1456" s="26"/>
      <c r="AD1456" s="26"/>
      <c r="AE1456" s="26"/>
      <c r="AF1456" s="26"/>
      <c r="AG1456" s="26"/>
      <c r="AH1456" s="26"/>
      <c r="AI1456" s="26"/>
      <c r="AJ1456" s="26"/>
      <c r="AK1456" s="26"/>
      <c r="AL1456" s="26"/>
      <c r="AM1456" s="26"/>
      <c r="AN1456" s="26"/>
      <c r="AO1456" s="26"/>
      <c r="AP1456" s="26"/>
      <c r="AQ1456" s="26"/>
      <c r="AR1456" s="26"/>
      <c r="AS1456" s="26"/>
      <c r="AT1456" s="26"/>
      <c r="AU1456" s="26"/>
      <c r="AV1456" s="26"/>
      <c r="AW1456" s="26"/>
      <c r="AX1456" s="26"/>
      <c r="AY1456" s="26"/>
    </row>
    <row r="1457" spans="1:51" ht="12.75" customHeight="1" x14ac:dyDescent="0.25">
      <c r="A1457" s="26"/>
      <c r="B1457" s="66"/>
      <c r="C1457" s="67"/>
      <c r="D1457" s="67"/>
      <c r="E1457" s="26"/>
      <c r="F1457" s="26"/>
      <c r="G1457" s="26"/>
      <c r="H1457" s="26"/>
      <c r="I1457" s="26"/>
      <c r="J1457" s="26"/>
      <c r="K1457" s="26"/>
      <c r="L1457" s="26"/>
      <c r="M1457" s="26"/>
      <c r="N1457" s="26"/>
      <c r="O1457" s="26"/>
      <c r="P1457" s="26"/>
      <c r="Q1457" s="26"/>
      <c r="R1457" s="26"/>
      <c r="S1457" s="26"/>
      <c r="T1457" s="26"/>
      <c r="U1457" s="26"/>
      <c r="V1457" s="26"/>
      <c r="W1457" s="26"/>
      <c r="X1457" s="26"/>
      <c r="Y1457" s="26"/>
      <c r="Z1457" s="26"/>
      <c r="AA1457" s="26"/>
      <c r="AB1457" s="26"/>
      <c r="AC1457" s="26"/>
      <c r="AD1457" s="26"/>
      <c r="AE1457" s="26"/>
      <c r="AF1457" s="26"/>
      <c r="AG1457" s="26"/>
      <c r="AH1457" s="26"/>
      <c r="AI1457" s="26"/>
      <c r="AJ1457" s="26"/>
      <c r="AK1457" s="26"/>
      <c r="AL1457" s="26"/>
      <c r="AM1457" s="26"/>
      <c r="AN1457" s="26"/>
      <c r="AO1457" s="26"/>
      <c r="AP1457" s="26"/>
      <c r="AQ1457" s="26"/>
      <c r="AR1457" s="26"/>
      <c r="AS1457" s="26"/>
      <c r="AT1457" s="26"/>
      <c r="AU1457" s="26"/>
      <c r="AV1457" s="26"/>
      <c r="AW1457" s="26"/>
      <c r="AX1457" s="26"/>
      <c r="AY1457" s="26"/>
    </row>
    <row r="1458" spans="1:51" ht="12.75" customHeight="1" x14ac:dyDescent="0.25">
      <c r="A1458" s="26"/>
      <c r="B1458" s="66"/>
      <c r="C1458" s="67"/>
      <c r="D1458" s="67"/>
      <c r="E1458" s="26"/>
      <c r="F1458" s="26"/>
      <c r="G1458" s="26"/>
      <c r="H1458" s="26"/>
      <c r="I1458" s="26"/>
      <c r="J1458" s="26"/>
      <c r="K1458" s="26"/>
      <c r="L1458" s="26"/>
      <c r="M1458" s="26"/>
      <c r="N1458" s="26"/>
      <c r="O1458" s="26"/>
      <c r="P1458" s="26"/>
      <c r="Q1458" s="26"/>
      <c r="R1458" s="26"/>
      <c r="S1458" s="26"/>
      <c r="T1458" s="26"/>
      <c r="U1458" s="26"/>
      <c r="V1458" s="26"/>
      <c r="W1458" s="26"/>
      <c r="X1458" s="26"/>
      <c r="Y1458" s="26"/>
      <c r="Z1458" s="26"/>
      <c r="AA1458" s="26"/>
      <c r="AB1458" s="26"/>
      <c r="AC1458" s="26"/>
      <c r="AD1458" s="26"/>
      <c r="AE1458" s="26"/>
      <c r="AF1458" s="26"/>
      <c r="AG1458" s="26"/>
      <c r="AH1458" s="26"/>
      <c r="AI1458" s="26"/>
      <c r="AJ1458" s="26"/>
      <c r="AK1458" s="26"/>
      <c r="AL1458" s="26"/>
      <c r="AM1458" s="26"/>
      <c r="AN1458" s="26"/>
      <c r="AO1458" s="26"/>
      <c r="AP1458" s="26"/>
      <c r="AQ1458" s="26"/>
      <c r="AR1458" s="26"/>
      <c r="AS1458" s="26"/>
      <c r="AT1458" s="26"/>
      <c r="AU1458" s="26"/>
      <c r="AV1458" s="26"/>
      <c r="AW1458" s="26"/>
      <c r="AX1458" s="26"/>
      <c r="AY1458" s="26"/>
    </row>
    <row r="1459" spans="1:51" ht="12.75" customHeight="1" x14ac:dyDescent="0.25">
      <c r="A1459" s="26"/>
      <c r="B1459" s="66"/>
      <c r="C1459" s="67"/>
      <c r="D1459" s="67"/>
      <c r="E1459" s="26"/>
      <c r="F1459" s="26"/>
      <c r="G1459" s="26"/>
      <c r="H1459" s="26"/>
      <c r="I1459" s="26"/>
      <c r="J1459" s="26"/>
      <c r="K1459" s="26"/>
      <c r="L1459" s="26"/>
      <c r="M1459" s="26"/>
      <c r="N1459" s="26"/>
      <c r="O1459" s="26"/>
      <c r="P1459" s="26"/>
      <c r="Q1459" s="26"/>
      <c r="R1459" s="26"/>
      <c r="S1459" s="26"/>
      <c r="T1459" s="26"/>
      <c r="U1459" s="26"/>
      <c r="V1459" s="26"/>
      <c r="W1459" s="26"/>
      <c r="X1459" s="26"/>
      <c r="Y1459" s="26"/>
      <c r="Z1459" s="26"/>
      <c r="AA1459" s="26"/>
      <c r="AB1459" s="26"/>
      <c r="AC1459" s="26"/>
      <c r="AD1459" s="26"/>
      <c r="AE1459" s="26"/>
      <c r="AF1459" s="26"/>
      <c r="AG1459" s="26"/>
      <c r="AH1459" s="26"/>
      <c r="AI1459" s="26"/>
      <c r="AJ1459" s="26"/>
      <c r="AK1459" s="26"/>
      <c r="AL1459" s="26"/>
      <c r="AM1459" s="26"/>
      <c r="AN1459" s="26"/>
      <c r="AO1459" s="26"/>
      <c r="AP1459" s="26"/>
      <c r="AQ1459" s="26"/>
      <c r="AR1459" s="26"/>
      <c r="AS1459" s="26"/>
      <c r="AT1459" s="26"/>
      <c r="AU1459" s="26"/>
      <c r="AV1459" s="26"/>
      <c r="AW1459" s="26"/>
      <c r="AX1459" s="26"/>
      <c r="AY1459" s="26"/>
    </row>
    <row r="1460" spans="1:51" ht="12.75" customHeight="1" x14ac:dyDescent="0.25">
      <c r="A1460" s="26"/>
      <c r="B1460" s="66"/>
      <c r="C1460" s="67"/>
      <c r="D1460" s="67"/>
      <c r="E1460" s="26"/>
      <c r="F1460" s="26"/>
      <c r="G1460" s="26"/>
      <c r="H1460" s="26"/>
      <c r="I1460" s="26"/>
      <c r="J1460" s="26"/>
      <c r="K1460" s="26"/>
      <c r="L1460" s="26"/>
      <c r="M1460" s="26"/>
      <c r="N1460" s="26"/>
      <c r="O1460" s="26"/>
      <c r="P1460" s="26"/>
      <c r="Q1460" s="26"/>
      <c r="R1460" s="26"/>
      <c r="S1460" s="26"/>
      <c r="T1460" s="26"/>
      <c r="U1460" s="26"/>
      <c r="V1460" s="26"/>
      <c r="W1460" s="26"/>
      <c r="X1460" s="26"/>
      <c r="Y1460" s="26"/>
      <c r="Z1460" s="26"/>
      <c r="AA1460" s="26"/>
      <c r="AB1460" s="26"/>
      <c r="AC1460" s="26"/>
      <c r="AD1460" s="26"/>
      <c r="AE1460" s="26"/>
      <c r="AF1460" s="26"/>
      <c r="AG1460" s="26"/>
      <c r="AH1460" s="26"/>
      <c r="AI1460" s="26"/>
      <c r="AJ1460" s="26"/>
      <c r="AK1460" s="26"/>
      <c r="AL1460" s="26"/>
      <c r="AM1460" s="26"/>
      <c r="AN1460" s="26"/>
      <c r="AO1460" s="26"/>
      <c r="AP1460" s="26"/>
      <c r="AQ1460" s="26"/>
      <c r="AR1460" s="26"/>
      <c r="AS1460" s="26"/>
      <c r="AT1460" s="26"/>
      <c r="AU1460" s="26"/>
      <c r="AV1460" s="26"/>
      <c r="AW1460" s="26"/>
      <c r="AX1460" s="26"/>
      <c r="AY1460" s="26"/>
    </row>
    <row r="1461" spans="1:51" ht="12.75" customHeight="1" x14ac:dyDescent="0.25">
      <c r="A1461" s="26"/>
      <c r="B1461" s="66"/>
      <c r="C1461" s="67"/>
      <c r="D1461" s="67"/>
      <c r="E1461" s="26"/>
      <c r="F1461" s="26"/>
      <c r="G1461" s="26"/>
      <c r="H1461" s="26"/>
      <c r="I1461" s="26"/>
      <c r="J1461" s="26"/>
      <c r="K1461" s="26"/>
      <c r="L1461" s="26"/>
      <c r="M1461" s="26"/>
      <c r="N1461" s="26"/>
      <c r="O1461" s="26"/>
      <c r="P1461" s="26"/>
      <c r="Q1461" s="26"/>
      <c r="R1461" s="26"/>
      <c r="S1461" s="26"/>
      <c r="T1461" s="26"/>
      <c r="U1461" s="26"/>
      <c r="V1461" s="26"/>
      <c r="W1461" s="26"/>
      <c r="X1461" s="26"/>
      <c r="Y1461" s="26"/>
      <c r="Z1461" s="26"/>
      <c r="AA1461" s="26"/>
      <c r="AB1461" s="26"/>
      <c r="AC1461" s="26"/>
      <c r="AD1461" s="26"/>
      <c r="AE1461" s="26"/>
      <c r="AF1461" s="26"/>
      <c r="AG1461" s="26"/>
      <c r="AH1461" s="26"/>
      <c r="AI1461" s="26"/>
      <c r="AJ1461" s="26"/>
      <c r="AK1461" s="26"/>
      <c r="AL1461" s="26"/>
      <c r="AM1461" s="26"/>
      <c r="AN1461" s="26"/>
      <c r="AO1461" s="26"/>
      <c r="AP1461" s="26"/>
      <c r="AQ1461" s="26"/>
      <c r="AR1461" s="26"/>
      <c r="AS1461" s="26"/>
      <c r="AT1461" s="26"/>
      <c r="AU1461" s="26"/>
      <c r="AV1461" s="26"/>
      <c r="AW1461" s="26"/>
      <c r="AX1461" s="26"/>
      <c r="AY1461" s="26"/>
    </row>
    <row r="1462" spans="1:51" ht="12.75" customHeight="1" x14ac:dyDescent="0.25">
      <c r="A1462" s="26"/>
      <c r="B1462" s="66"/>
      <c r="C1462" s="67"/>
      <c r="D1462" s="67"/>
      <c r="E1462" s="26"/>
      <c r="F1462" s="26"/>
      <c r="G1462" s="26"/>
      <c r="H1462" s="26"/>
      <c r="I1462" s="26"/>
      <c r="J1462" s="26"/>
      <c r="K1462" s="26"/>
      <c r="L1462" s="26"/>
      <c r="M1462" s="26"/>
      <c r="N1462" s="26"/>
      <c r="O1462" s="26"/>
      <c r="P1462" s="26"/>
      <c r="Q1462" s="26"/>
      <c r="R1462" s="26"/>
      <c r="S1462" s="26"/>
      <c r="T1462" s="26"/>
      <c r="U1462" s="26"/>
      <c r="V1462" s="26"/>
      <c r="W1462" s="26"/>
      <c r="X1462" s="26"/>
      <c r="Y1462" s="26"/>
      <c r="Z1462" s="26"/>
      <c r="AA1462" s="26"/>
      <c r="AB1462" s="26"/>
      <c r="AC1462" s="26"/>
      <c r="AD1462" s="26"/>
      <c r="AE1462" s="26"/>
      <c r="AF1462" s="26"/>
      <c r="AG1462" s="26"/>
      <c r="AH1462" s="26"/>
      <c r="AI1462" s="26"/>
      <c r="AJ1462" s="26"/>
      <c r="AK1462" s="26"/>
      <c r="AL1462" s="26"/>
      <c r="AM1462" s="26"/>
      <c r="AN1462" s="26"/>
      <c r="AO1462" s="26"/>
      <c r="AP1462" s="26"/>
      <c r="AQ1462" s="26"/>
      <c r="AR1462" s="26"/>
      <c r="AS1462" s="26"/>
      <c r="AT1462" s="26"/>
      <c r="AU1462" s="26"/>
      <c r="AV1462" s="26"/>
      <c r="AW1462" s="26"/>
      <c r="AX1462" s="26"/>
      <c r="AY1462" s="26"/>
    </row>
    <row r="1463" spans="1:51" ht="12.75" customHeight="1" x14ac:dyDescent="0.25">
      <c r="A1463" s="26"/>
      <c r="B1463" s="66"/>
      <c r="C1463" s="67"/>
      <c r="D1463" s="67"/>
      <c r="E1463" s="26"/>
      <c r="F1463" s="26"/>
      <c r="G1463" s="26"/>
      <c r="H1463" s="26"/>
      <c r="I1463" s="26"/>
      <c r="J1463" s="26"/>
      <c r="K1463" s="26"/>
      <c r="L1463" s="26"/>
      <c r="M1463" s="26"/>
      <c r="N1463" s="26"/>
      <c r="O1463" s="26"/>
      <c r="P1463" s="26"/>
      <c r="Q1463" s="26"/>
      <c r="R1463" s="26"/>
      <c r="S1463" s="26"/>
      <c r="T1463" s="26"/>
      <c r="U1463" s="26"/>
      <c r="V1463" s="26"/>
      <c r="W1463" s="26"/>
      <c r="X1463" s="26"/>
      <c r="Y1463" s="26"/>
      <c r="Z1463" s="26"/>
      <c r="AA1463" s="26"/>
      <c r="AB1463" s="26"/>
      <c r="AC1463" s="26"/>
      <c r="AD1463" s="26"/>
      <c r="AE1463" s="26"/>
      <c r="AF1463" s="26"/>
      <c r="AG1463" s="26"/>
      <c r="AH1463" s="26"/>
      <c r="AI1463" s="26"/>
      <c r="AJ1463" s="26"/>
      <c r="AK1463" s="26"/>
      <c r="AL1463" s="26"/>
      <c r="AM1463" s="26"/>
      <c r="AN1463" s="26"/>
      <c r="AO1463" s="26"/>
      <c r="AP1463" s="26"/>
      <c r="AQ1463" s="26"/>
      <c r="AR1463" s="26"/>
      <c r="AS1463" s="26"/>
      <c r="AT1463" s="26"/>
      <c r="AU1463" s="26"/>
      <c r="AV1463" s="26"/>
      <c r="AW1463" s="26"/>
      <c r="AX1463" s="26"/>
      <c r="AY1463" s="26"/>
    </row>
    <row r="1464" spans="1:51" ht="12.75" customHeight="1" x14ac:dyDescent="0.25">
      <c r="A1464" s="26"/>
      <c r="B1464" s="66"/>
      <c r="C1464" s="67"/>
      <c r="D1464" s="67"/>
      <c r="E1464" s="26"/>
      <c r="F1464" s="26"/>
      <c r="G1464" s="26"/>
      <c r="H1464" s="26"/>
      <c r="I1464" s="26"/>
      <c r="J1464" s="26"/>
      <c r="K1464" s="26"/>
      <c r="L1464" s="26"/>
      <c r="M1464" s="26"/>
      <c r="N1464" s="26"/>
      <c r="O1464" s="26"/>
      <c r="P1464" s="26"/>
      <c r="Q1464" s="26"/>
      <c r="R1464" s="26"/>
      <c r="S1464" s="26"/>
      <c r="T1464" s="26"/>
      <c r="U1464" s="26"/>
      <c r="V1464" s="26"/>
      <c r="W1464" s="26"/>
      <c r="X1464" s="26"/>
      <c r="Y1464" s="26"/>
      <c r="Z1464" s="26"/>
      <c r="AA1464" s="26"/>
      <c r="AB1464" s="26"/>
      <c r="AC1464" s="26"/>
      <c r="AD1464" s="26"/>
      <c r="AE1464" s="26"/>
      <c r="AF1464" s="26"/>
      <c r="AG1464" s="26"/>
      <c r="AH1464" s="26"/>
      <c r="AI1464" s="26"/>
      <c r="AJ1464" s="26"/>
      <c r="AK1464" s="26"/>
      <c r="AL1464" s="26"/>
      <c r="AM1464" s="26"/>
      <c r="AN1464" s="26"/>
      <c r="AO1464" s="26"/>
      <c r="AP1464" s="26"/>
      <c r="AQ1464" s="26"/>
      <c r="AR1464" s="26"/>
      <c r="AS1464" s="26"/>
      <c r="AT1464" s="26"/>
      <c r="AU1464" s="26"/>
      <c r="AV1464" s="26"/>
      <c r="AW1464" s="26"/>
      <c r="AX1464" s="26"/>
      <c r="AY1464" s="26"/>
    </row>
    <row r="1465" spans="1:51" ht="12.75" customHeight="1" x14ac:dyDescent="0.25">
      <c r="A1465" s="26"/>
      <c r="B1465" s="66"/>
      <c r="C1465" s="67"/>
      <c r="D1465" s="67"/>
      <c r="E1465" s="26"/>
      <c r="F1465" s="26"/>
      <c r="G1465" s="26"/>
      <c r="H1465" s="26"/>
      <c r="I1465" s="26"/>
      <c r="J1465" s="26"/>
      <c r="K1465" s="26"/>
      <c r="L1465" s="26"/>
      <c r="M1465" s="26"/>
      <c r="N1465" s="26"/>
      <c r="O1465" s="26"/>
      <c r="P1465" s="26"/>
      <c r="Q1465" s="26"/>
      <c r="R1465" s="26"/>
      <c r="S1465" s="26"/>
      <c r="T1465" s="26"/>
      <c r="U1465" s="26"/>
      <c r="V1465" s="26"/>
      <c r="W1465" s="26"/>
      <c r="X1465" s="26"/>
      <c r="Y1465" s="26"/>
      <c r="Z1465" s="26"/>
      <c r="AA1465" s="26"/>
      <c r="AB1465" s="26"/>
      <c r="AC1465" s="26"/>
      <c r="AD1465" s="26"/>
      <c r="AE1465" s="26"/>
      <c r="AF1465" s="26"/>
      <c r="AG1465" s="26"/>
      <c r="AH1465" s="26"/>
      <c r="AI1465" s="26"/>
      <c r="AJ1465" s="26"/>
      <c r="AK1465" s="26"/>
      <c r="AL1465" s="26"/>
      <c r="AM1465" s="26"/>
      <c r="AN1465" s="26"/>
      <c r="AO1465" s="26"/>
      <c r="AP1465" s="26"/>
      <c r="AQ1465" s="26"/>
      <c r="AR1465" s="26"/>
      <c r="AS1465" s="26"/>
      <c r="AT1465" s="26"/>
      <c r="AU1465" s="26"/>
      <c r="AV1465" s="26"/>
      <c r="AW1465" s="26"/>
      <c r="AX1465" s="26"/>
      <c r="AY1465" s="26"/>
    </row>
    <row r="1466" spans="1:51" ht="12.75" customHeight="1" x14ac:dyDescent="0.25">
      <c r="A1466" s="26"/>
      <c r="B1466" s="66"/>
      <c r="C1466" s="67"/>
      <c r="D1466" s="67"/>
      <c r="E1466" s="26"/>
      <c r="F1466" s="26"/>
      <c r="G1466" s="26"/>
      <c r="H1466" s="26"/>
      <c r="I1466" s="26"/>
      <c r="J1466" s="26"/>
      <c r="K1466" s="26"/>
      <c r="L1466" s="26"/>
      <c r="M1466" s="26"/>
      <c r="N1466" s="26"/>
      <c r="O1466" s="26"/>
      <c r="P1466" s="26"/>
      <c r="Q1466" s="26"/>
      <c r="R1466" s="26"/>
      <c r="S1466" s="26"/>
      <c r="T1466" s="26"/>
      <c r="U1466" s="26"/>
      <c r="V1466" s="26"/>
      <c r="W1466" s="26"/>
      <c r="X1466" s="26"/>
      <c r="Y1466" s="26"/>
      <c r="Z1466" s="26"/>
      <c r="AA1466" s="26"/>
      <c r="AB1466" s="26"/>
      <c r="AC1466" s="26"/>
      <c r="AD1466" s="26"/>
      <c r="AE1466" s="26"/>
      <c r="AF1466" s="26"/>
      <c r="AG1466" s="26"/>
      <c r="AH1466" s="26"/>
      <c r="AI1466" s="26"/>
      <c r="AJ1466" s="26"/>
      <c r="AK1466" s="26"/>
      <c r="AL1466" s="26"/>
      <c r="AM1466" s="26"/>
      <c r="AN1466" s="26"/>
      <c r="AO1466" s="26"/>
      <c r="AP1466" s="26"/>
      <c r="AQ1466" s="26"/>
      <c r="AR1466" s="26"/>
      <c r="AS1466" s="26"/>
      <c r="AT1466" s="26"/>
      <c r="AU1466" s="26"/>
      <c r="AV1466" s="26"/>
      <c r="AW1466" s="26"/>
      <c r="AX1466" s="26"/>
      <c r="AY1466" s="26"/>
    </row>
    <row r="1467" spans="1:51" ht="12.75" customHeight="1" x14ac:dyDescent="0.25">
      <c r="A1467" s="26"/>
      <c r="B1467" s="66"/>
      <c r="C1467" s="67"/>
      <c r="D1467" s="67"/>
      <c r="E1467" s="26"/>
      <c r="F1467" s="26"/>
      <c r="G1467" s="26"/>
      <c r="H1467" s="26"/>
      <c r="I1467" s="26"/>
      <c r="J1467" s="26"/>
      <c r="K1467" s="26"/>
      <c r="L1467" s="26"/>
      <c r="M1467" s="26"/>
      <c r="N1467" s="26"/>
      <c r="O1467" s="26"/>
      <c r="P1467" s="26"/>
      <c r="Q1467" s="26"/>
      <c r="R1467" s="26"/>
      <c r="S1467" s="26"/>
      <c r="T1467" s="26"/>
      <c r="U1467" s="26"/>
      <c r="V1467" s="26"/>
      <c r="W1467" s="26"/>
      <c r="X1467" s="26"/>
      <c r="Y1467" s="26"/>
      <c r="Z1467" s="26"/>
      <c r="AA1467" s="26"/>
      <c r="AB1467" s="26"/>
      <c r="AC1467" s="26"/>
      <c r="AD1467" s="26"/>
      <c r="AE1467" s="26"/>
      <c r="AF1467" s="26"/>
      <c r="AG1467" s="26"/>
      <c r="AH1467" s="26"/>
      <c r="AI1467" s="26"/>
      <c r="AJ1467" s="26"/>
      <c r="AK1467" s="26"/>
      <c r="AL1467" s="26"/>
      <c r="AM1467" s="26"/>
      <c r="AN1467" s="26"/>
      <c r="AO1467" s="26"/>
      <c r="AP1467" s="26"/>
      <c r="AQ1467" s="26"/>
      <c r="AR1467" s="26"/>
      <c r="AS1467" s="26"/>
      <c r="AT1467" s="26"/>
      <c r="AU1467" s="26"/>
      <c r="AV1467" s="26"/>
      <c r="AW1467" s="26"/>
      <c r="AX1467" s="26"/>
      <c r="AY1467" s="26"/>
    </row>
    <row r="1468" spans="1:51" ht="12.75" customHeight="1" x14ac:dyDescent="0.25">
      <c r="A1468" s="26"/>
      <c r="B1468" s="66"/>
      <c r="C1468" s="67"/>
      <c r="D1468" s="67"/>
      <c r="E1468" s="26"/>
      <c r="F1468" s="26"/>
      <c r="G1468" s="26"/>
      <c r="H1468" s="26"/>
      <c r="I1468" s="26"/>
      <c r="J1468" s="26"/>
      <c r="K1468" s="26"/>
      <c r="L1468" s="26"/>
      <c r="M1468" s="26"/>
      <c r="N1468" s="26"/>
      <c r="O1468" s="26"/>
      <c r="P1468" s="26"/>
      <c r="Q1468" s="26"/>
      <c r="R1468" s="26"/>
      <c r="S1468" s="26"/>
      <c r="T1468" s="26"/>
      <c r="U1468" s="26"/>
      <c r="V1468" s="26"/>
      <c r="W1468" s="26"/>
      <c r="X1468" s="26"/>
      <c r="Y1468" s="26"/>
      <c r="Z1468" s="26"/>
      <c r="AA1468" s="26"/>
      <c r="AB1468" s="26"/>
      <c r="AC1468" s="26"/>
      <c r="AD1468" s="26"/>
      <c r="AE1468" s="26"/>
      <c r="AF1468" s="26"/>
      <c r="AG1468" s="26"/>
      <c r="AH1468" s="26"/>
      <c r="AI1468" s="26"/>
      <c r="AJ1468" s="26"/>
      <c r="AK1468" s="26"/>
      <c r="AL1468" s="26"/>
      <c r="AM1468" s="26"/>
      <c r="AN1468" s="26"/>
      <c r="AO1468" s="26"/>
      <c r="AP1468" s="26"/>
      <c r="AQ1468" s="26"/>
      <c r="AR1468" s="26"/>
      <c r="AS1468" s="26"/>
      <c r="AT1468" s="26"/>
      <c r="AU1468" s="26"/>
      <c r="AV1468" s="26"/>
      <c r="AW1468" s="26"/>
      <c r="AX1468" s="26"/>
      <c r="AY1468" s="26"/>
    </row>
    <row r="1469" spans="1:51" ht="12.75" customHeight="1" x14ac:dyDescent="0.25">
      <c r="A1469" s="26"/>
      <c r="B1469" s="66"/>
      <c r="C1469" s="67"/>
      <c r="D1469" s="67"/>
      <c r="E1469" s="26"/>
      <c r="F1469" s="26"/>
      <c r="G1469" s="26"/>
      <c r="H1469" s="26"/>
      <c r="I1469" s="26"/>
      <c r="J1469" s="26"/>
      <c r="K1469" s="26"/>
      <c r="L1469" s="26"/>
      <c r="M1469" s="26"/>
      <c r="N1469" s="26"/>
      <c r="O1469" s="26"/>
      <c r="P1469" s="26"/>
      <c r="Q1469" s="26"/>
      <c r="R1469" s="26"/>
      <c r="S1469" s="26"/>
      <c r="T1469" s="26"/>
      <c r="U1469" s="26"/>
      <c r="V1469" s="26"/>
      <c r="W1469" s="26"/>
      <c r="X1469" s="26"/>
      <c r="Y1469" s="26"/>
      <c r="Z1469" s="26"/>
      <c r="AA1469" s="26"/>
      <c r="AB1469" s="26"/>
      <c r="AC1469" s="26"/>
      <c r="AD1469" s="26"/>
      <c r="AE1469" s="26"/>
      <c r="AF1469" s="26"/>
      <c r="AG1469" s="26"/>
      <c r="AH1469" s="26"/>
      <c r="AI1469" s="26"/>
      <c r="AJ1469" s="26"/>
      <c r="AK1469" s="26"/>
      <c r="AL1469" s="26"/>
      <c r="AM1469" s="26"/>
      <c r="AN1469" s="26"/>
      <c r="AO1469" s="26"/>
      <c r="AP1469" s="26"/>
      <c r="AQ1469" s="26"/>
      <c r="AR1469" s="26"/>
      <c r="AS1469" s="26"/>
      <c r="AT1469" s="26"/>
      <c r="AU1469" s="26"/>
      <c r="AV1469" s="26"/>
      <c r="AW1469" s="26"/>
      <c r="AX1469" s="26"/>
      <c r="AY1469" s="26"/>
    </row>
    <row r="1470" spans="1:51" ht="12.75" customHeight="1" x14ac:dyDescent="0.25">
      <c r="A1470" s="26"/>
      <c r="B1470" s="66"/>
      <c r="C1470" s="67"/>
      <c r="D1470" s="67"/>
      <c r="E1470" s="26"/>
      <c r="F1470" s="26"/>
      <c r="G1470" s="26"/>
      <c r="H1470" s="26"/>
      <c r="I1470" s="26"/>
      <c r="J1470" s="26"/>
      <c r="K1470" s="26"/>
      <c r="L1470" s="26"/>
      <c r="M1470" s="26"/>
      <c r="N1470" s="26"/>
      <c r="O1470" s="26"/>
      <c r="P1470" s="26"/>
      <c r="Q1470" s="26"/>
      <c r="R1470" s="26"/>
      <c r="S1470" s="26"/>
      <c r="T1470" s="26"/>
      <c r="U1470" s="26"/>
      <c r="V1470" s="26"/>
      <c r="W1470" s="26"/>
      <c r="X1470" s="26"/>
      <c r="Y1470" s="26"/>
      <c r="Z1470" s="26"/>
      <c r="AA1470" s="26"/>
      <c r="AB1470" s="26"/>
      <c r="AC1470" s="26"/>
      <c r="AD1470" s="26"/>
      <c r="AE1470" s="26"/>
      <c r="AF1470" s="26"/>
      <c r="AG1470" s="26"/>
      <c r="AH1470" s="26"/>
      <c r="AI1470" s="26"/>
      <c r="AJ1470" s="26"/>
      <c r="AK1470" s="26"/>
      <c r="AL1470" s="26"/>
      <c r="AM1470" s="26"/>
      <c r="AN1470" s="26"/>
      <c r="AO1470" s="26"/>
      <c r="AP1470" s="26"/>
      <c r="AQ1470" s="26"/>
      <c r="AR1470" s="26"/>
      <c r="AS1470" s="26"/>
      <c r="AT1470" s="26"/>
      <c r="AU1470" s="26"/>
      <c r="AV1470" s="26"/>
      <c r="AW1470" s="26"/>
      <c r="AX1470" s="26"/>
      <c r="AY1470" s="26"/>
    </row>
    <row r="1471" spans="1:51" ht="12.75" customHeight="1" x14ac:dyDescent="0.25">
      <c r="A1471" s="26"/>
      <c r="B1471" s="66"/>
      <c r="C1471" s="67"/>
      <c r="D1471" s="67"/>
      <c r="E1471" s="26"/>
      <c r="F1471" s="26"/>
      <c r="G1471" s="26"/>
      <c r="H1471" s="26"/>
      <c r="I1471" s="26"/>
      <c r="J1471" s="26"/>
      <c r="K1471" s="26"/>
      <c r="L1471" s="26"/>
      <c r="M1471" s="26"/>
      <c r="N1471" s="26"/>
      <c r="O1471" s="26"/>
      <c r="P1471" s="26"/>
      <c r="Q1471" s="26"/>
      <c r="R1471" s="26"/>
      <c r="S1471" s="26"/>
      <c r="T1471" s="26"/>
      <c r="U1471" s="26"/>
      <c r="V1471" s="26"/>
      <c r="W1471" s="26"/>
      <c r="X1471" s="26"/>
      <c r="Y1471" s="26"/>
      <c r="Z1471" s="26"/>
      <c r="AA1471" s="26"/>
      <c r="AB1471" s="26"/>
      <c r="AC1471" s="26"/>
      <c r="AD1471" s="26"/>
      <c r="AE1471" s="26"/>
      <c r="AF1471" s="26"/>
      <c r="AG1471" s="26"/>
      <c r="AH1471" s="26"/>
      <c r="AI1471" s="26"/>
      <c r="AJ1471" s="26"/>
      <c r="AK1471" s="26"/>
      <c r="AL1471" s="26"/>
      <c r="AM1471" s="26"/>
      <c r="AN1471" s="26"/>
      <c r="AO1471" s="26"/>
      <c r="AP1471" s="26"/>
      <c r="AQ1471" s="26"/>
      <c r="AR1471" s="26"/>
      <c r="AS1471" s="26"/>
      <c r="AT1471" s="26"/>
      <c r="AU1471" s="26"/>
      <c r="AV1471" s="26"/>
      <c r="AW1471" s="26"/>
      <c r="AX1471" s="26"/>
      <c r="AY1471" s="26"/>
    </row>
    <row r="1472" spans="1:51" ht="12.75" customHeight="1" x14ac:dyDescent="0.25">
      <c r="A1472" s="26"/>
      <c r="B1472" s="66"/>
      <c r="C1472" s="67"/>
      <c r="D1472" s="67"/>
      <c r="E1472" s="26"/>
      <c r="F1472" s="26"/>
      <c r="G1472" s="26"/>
      <c r="H1472" s="26"/>
      <c r="I1472" s="26"/>
      <c r="J1472" s="26"/>
      <c r="K1472" s="26"/>
      <c r="L1472" s="26"/>
      <c r="M1472" s="26"/>
      <c r="N1472" s="26"/>
      <c r="O1472" s="26"/>
      <c r="P1472" s="26"/>
      <c r="Q1472" s="26"/>
      <c r="R1472" s="26"/>
      <c r="S1472" s="26"/>
      <c r="T1472" s="26"/>
      <c r="U1472" s="26"/>
      <c r="V1472" s="26"/>
      <c r="W1472" s="26"/>
      <c r="X1472" s="26"/>
      <c r="Y1472" s="26"/>
      <c r="Z1472" s="26"/>
      <c r="AA1472" s="26"/>
      <c r="AB1472" s="26"/>
      <c r="AC1472" s="26"/>
      <c r="AD1472" s="26"/>
      <c r="AE1472" s="26"/>
      <c r="AF1472" s="26"/>
      <c r="AG1472" s="26"/>
      <c r="AH1472" s="26"/>
      <c r="AI1472" s="26"/>
      <c r="AJ1472" s="26"/>
      <c r="AK1472" s="26"/>
      <c r="AL1472" s="26"/>
      <c r="AM1472" s="26"/>
      <c r="AN1472" s="26"/>
      <c r="AO1472" s="26"/>
      <c r="AP1472" s="26"/>
      <c r="AQ1472" s="26"/>
      <c r="AR1472" s="26"/>
      <c r="AS1472" s="26"/>
      <c r="AT1472" s="26"/>
      <c r="AU1472" s="26"/>
      <c r="AV1472" s="26"/>
      <c r="AW1472" s="26"/>
      <c r="AX1472" s="26"/>
      <c r="AY1472" s="26"/>
    </row>
    <row r="1473" spans="1:51" ht="12.75" customHeight="1" x14ac:dyDescent="0.25">
      <c r="A1473" s="26"/>
      <c r="B1473" s="66"/>
      <c r="C1473" s="67"/>
      <c r="D1473" s="67"/>
      <c r="E1473" s="26"/>
      <c r="F1473" s="26"/>
      <c r="G1473" s="26"/>
      <c r="H1473" s="26"/>
      <c r="I1473" s="26"/>
      <c r="J1473" s="26"/>
      <c r="K1473" s="26"/>
      <c r="L1473" s="26"/>
      <c r="M1473" s="26"/>
      <c r="N1473" s="26"/>
      <c r="O1473" s="26"/>
      <c r="P1473" s="26"/>
      <c r="Q1473" s="26"/>
      <c r="R1473" s="26"/>
      <c r="S1473" s="26"/>
      <c r="T1473" s="26"/>
      <c r="U1473" s="26"/>
      <c r="V1473" s="26"/>
      <c r="W1473" s="26"/>
      <c r="X1473" s="26"/>
      <c r="Y1473" s="26"/>
      <c r="Z1473" s="26"/>
      <c r="AA1473" s="26"/>
      <c r="AB1473" s="26"/>
      <c r="AC1473" s="26"/>
      <c r="AD1473" s="26"/>
      <c r="AE1473" s="26"/>
      <c r="AF1473" s="26"/>
      <c r="AG1473" s="26"/>
      <c r="AH1473" s="26"/>
      <c r="AI1473" s="26"/>
      <c r="AJ1473" s="26"/>
      <c r="AK1473" s="26"/>
      <c r="AL1473" s="26"/>
      <c r="AM1473" s="26"/>
      <c r="AN1473" s="26"/>
      <c r="AO1473" s="26"/>
      <c r="AP1473" s="26"/>
      <c r="AQ1473" s="26"/>
      <c r="AR1473" s="26"/>
      <c r="AS1473" s="26"/>
      <c r="AT1473" s="26"/>
      <c r="AU1473" s="26"/>
      <c r="AV1473" s="26"/>
      <c r="AW1473" s="26"/>
      <c r="AX1473" s="26"/>
      <c r="AY1473" s="26"/>
    </row>
    <row r="1474" spans="1:51" ht="12.75" customHeight="1" x14ac:dyDescent="0.25">
      <c r="A1474" s="26"/>
      <c r="B1474" s="66"/>
      <c r="C1474" s="67"/>
      <c r="D1474" s="67"/>
      <c r="E1474" s="26"/>
      <c r="F1474" s="26"/>
      <c r="G1474" s="26"/>
      <c r="H1474" s="26"/>
      <c r="I1474" s="26"/>
      <c r="J1474" s="26"/>
      <c r="K1474" s="26"/>
      <c r="L1474" s="26"/>
      <c r="M1474" s="26"/>
      <c r="N1474" s="26"/>
      <c r="O1474" s="26"/>
      <c r="P1474" s="26"/>
      <c r="Q1474" s="26"/>
      <c r="R1474" s="26"/>
      <c r="S1474" s="26"/>
      <c r="T1474" s="26"/>
      <c r="U1474" s="26"/>
      <c r="V1474" s="26"/>
      <c r="W1474" s="26"/>
      <c r="X1474" s="26"/>
      <c r="Y1474" s="26"/>
      <c r="Z1474" s="26"/>
      <c r="AA1474" s="26"/>
      <c r="AB1474" s="26"/>
      <c r="AC1474" s="26"/>
      <c r="AD1474" s="26"/>
      <c r="AE1474" s="26"/>
      <c r="AF1474" s="26"/>
      <c r="AG1474" s="26"/>
      <c r="AH1474" s="26"/>
      <c r="AI1474" s="26"/>
      <c r="AJ1474" s="26"/>
      <c r="AK1474" s="26"/>
      <c r="AL1474" s="26"/>
      <c r="AM1474" s="26"/>
      <c r="AN1474" s="26"/>
      <c r="AO1474" s="26"/>
      <c r="AP1474" s="26"/>
      <c r="AQ1474" s="26"/>
      <c r="AR1474" s="26"/>
      <c r="AS1474" s="26"/>
      <c r="AT1474" s="26"/>
      <c r="AU1474" s="26"/>
      <c r="AV1474" s="26"/>
      <c r="AW1474" s="26"/>
      <c r="AX1474" s="26"/>
      <c r="AY1474" s="26"/>
    </row>
    <row r="1475" spans="1:51" ht="12.75" customHeight="1" x14ac:dyDescent="0.25">
      <c r="A1475" s="26"/>
      <c r="B1475" s="66"/>
      <c r="C1475" s="67"/>
      <c r="D1475" s="67"/>
      <c r="E1475" s="26"/>
      <c r="F1475" s="26"/>
      <c r="G1475" s="26"/>
      <c r="H1475" s="26"/>
      <c r="I1475" s="26"/>
      <c r="J1475" s="26"/>
      <c r="K1475" s="26"/>
      <c r="L1475" s="26"/>
      <c r="M1475" s="26"/>
      <c r="N1475" s="26"/>
      <c r="O1475" s="26"/>
      <c r="P1475" s="26"/>
      <c r="Q1475" s="26"/>
      <c r="R1475" s="26"/>
      <c r="S1475" s="26"/>
      <c r="T1475" s="26"/>
      <c r="U1475" s="26"/>
      <c r="V1475" s="26"/>
      <c r="W1475" s="26"/>
      <c r="X1475" s="26"/>
      <c r="Y1475" s="26"/>
      <c r="Z1475" s="26"/>
      <c r="AA1475" s="26"/>
      <c r="AB1475" s="26"/>
      <c r="AC1475" s="26"/>
      <c r="AD1475" s="26"/>
      <c r="AE1475" s="26"/>
      <c r="AF1475" s="26"/>
      <c r="AG1475" s="26"/>
      <c r="AH1475" s="26"/>
      <c r="AI1475" s="26"/>
      <c r="AJ1475" s="26"/>
      <c r="AK1475" s="26"/>
      <c r="AL1475" s="26"/>
      <c r="AM1475" s="26"/>
      <c r="AN1475" s="26"/>
      <c r="AO1475" s="26"/>
      <c r="AP1475" s="26"/>
      <c r="AQ1475" s="26"/>
      <c r="AR1475" s="26"/>
      <c r="AS1475" s="26"/>
      <c r="AT1475" s="26"/>
      <c r="AU1475" s="26"/>
      <c r="AV1475" s="26"/>
      <c r="AW1475" s="26"/>
      <c r="AX1475" s="26"/>
      <c r="AY1475" s="26"/>
    </row>
    <row r="1476" spans="1:51" ht="12.75" customHeight="1" x14ac:dyDescent="0.25">
      <c r="A1476" s="26"/>
      <c r="B1476" s="66"/>
      <c r="C1476" s="67"/>
      <c r="D1476" s="67"/>
      <c r="E1476" s="26"/>
      <c r="F1476" s="26"/>
      <c r="G1476" s="26"/>
      <c r="H1476" s="26"/>
      <c r="I1476" s="26"/>
      <c r="J1476" s="26"/>
      <c r="K1476" s="26"/>
      <c r="L1476" s="26"/>
      <c r="M1476" s="26"/>
      <c r="N1476" s="26"/>
      <c r="O1476" s="26"/>
      <c r="P1476" s="26"/>
      <c r="Q1476" s="26"/>
      <c r="R1476" s="26"/>
      <c r="S1476" s="26"/>
      <c r="T1476" s="26"/>
      <c r="U1476" s="26"/>
      <c r="V1476" s="26"/>
      <c r="W1476" s="26"/>
      <c r="X1476" s="26"/>
      <c r="Y1476" s="26"/>
      <c r="Z1476" s="26"/>
      <c r="AA1476" s="26"/>
      <c r="AB1476" s="26"/>
      <c r="AC1476" s="26"/>
      <c r="AD1476" s="26"/>
      <c r="AE1476" s="26"/>
      <c r="AF1476" s="26"/>
      <c r="AG1476" s="26"/>
      <c r="AH1476" s="26"/>
      <c r="AI1476" s="26"/>
      <c r="AJ1476" s="26"/>
      <c r="AK1476" s="26"/>
      <c r="AL1476" s="26"/>
      <c r="AM1476" s="26"/>
      <c r="AN1476" s="26"/>
      <c r="AO1476" s="26"/>
      <c r="AP1476" s="26"/>
      <c r="AQ1476" s="26"/>
      <c r="AR1476" s="26"/>
      <c r="AS1476" s="26"/>
      <c r="AT1476" s="26"/>
      <c r="AU1476" s="26"/>
      <c r="AV1476" s="26"/>
      <c r="AW1476" s="26"/>
      <c r="AX1476" s="26"/>
      <c r="AY1476" s="26"/>
    </row>
    <row r="1477" spans="1:51" ht="12.75" customHeight="1" x14ac:dyDescent="0.25">
      <c r="A1477" s="26"/>
      <c r="B1477" s="66"/>
      <c r="C1477" s="67"/>
      <c r="D1477" s="67"/>
      <c r="E1477" s="26"/>
      <c r="F1477" s="26"/>
      <c r="G1477" s="26"/>
      <c r="H1477" s="26"/>
      <c r="I1477" s="26"/>
      <c r="J1477" s="26"/>
      <c r="K1477" s="26"/>
      <c r="L1477" s="26"/>
      <c r="M1477" s="26"/>
      <c r="N1477" s="26"/>
      <c r="O1477" s="26"/>
      <c r="P1477" s="26"/>
      <c r="Q1477" s="26"/>
      <c r="R1477" s="26"/>
      <c r="S1477" s="26"/>
      <c r="T1477" s="26"/>
      <c r="U1477" s="26"/>
      <c r="V1477" s="26"/>
      <c r="W1477" s="26"/>
      <c r="X1477" s="26"/>
      <c r="Y1477" s="26"/>
      <c r="Z1477" s="26"/>
      <c r="AA1477" s="26"/>
      <c r="AB1477" s="26"/>
      <c r="AC1477" s="26"/>
      <c r="AD1477" s="26"/>
      <c r="AE1477" s="26"/>
      <c r="AF1477" s="26"/>
      <c r="AG1477" s="26"/>
      <c r="AH1477" s="26"/>
      <c r="AI1477" s="26"/>
      <c r="AJ1477" s="26"/>
      <c r="AK1477" s="26"/>
      <c r="AL1477" s="26"/>
      <c r="AM1477" s="26"/>
      <c r="AN1477" s="26"/>
      <c r="AO1477" s="26"/>
      <c r="AP1477" s="26"/>
      <c r="AQ1477" s="26"/>
      <c r="AR1477" s="26"/>
      <c r="AS1477" s="26"/>
      <c r="AT1477" s="26"/>
      <c r="AU1477" s="26"/>
      <c r="AV1477" s="26"/>
      <c r="AW1477" s="26"/>
      <c r="AX1477" s="26"/>
      <c r="AY1477" s="26"/>
    </row>
    <row r="1478" spans="1:51" ht="12.75" customHeight="1" x14ac:dyDescent="0.25">
      <c r="A1478" s="26"/>
      <c r="B1478" s="66"/>
      <c r="C1478" s="67"/>
      <c r="D1478" s="67"/>
      <c r="E1478" s="26"/>
      <c r="F1478" s="26"/>
      <c r="G1478" s="26"/>
      <c r="H1478" s="26"/>
      <c r="I1478" s="26"/>
      <c r="J1478" s="26"/>
      <c r="K1478" s="26"/>
      <c r="L1478" s="26"/>
      <c r="M1478" s="26"/>
      <c r="N1478" s="26"/>
      <c r="O1478" s="26"/>
      <c r="P1478" s="26"/>
      <c r="Q1478" s="26"/>
      <c r="R1478" s="26"/>
      <c r="S1478" s="26"/>
      <c r="T1478" s="26"/>
      <c r="U1478" s="26"/>
      <c r="V1478" s="26"/>
      <c r="W1478" s="26"/>
      <c r="X1478" s="26"/>
      <c r="Y1478" s="26"/>
      <c r="Z1478" s="26"/>
      <c r="AA1478" s="26"/>
      <c r="AB1478" s="26"/>
      <c r="AC1478" s="26"/>
      <c r="AD1478" s="26"/>
      <c r="AE1478" s="26"/>
      <c r="AF1478" s="26"/>
      <c r="AG1478" s="26"/>
      <c r="AH1478" s="26"/>
      <c r="AI1478" s="26"/>
      <c r="AJ1478" s="26"/>
      <c r="AK1478" s="26"/>
      <c r="AL1478" s="26"/>
      <c r="AM1478" s="26"/>
      <c r="AN1478" s="26"/>
      <c r="AO1478" s="26"/>
      <c r="AP1478" s="26"/>
      <c r="AQ1478" s="26"/>
      <c r="AR1478" s="26"/>
      <c r="AS1478" s="26"/>
      <c r="AT1478" s="26"/>
      <c r="AU1478" s="26"/>
      <c r="AV1478" s="26"/>
      <c r="AW1478" s="26"/>
      <c r="AX1478" s="26"/>
      <c r="AY1478" s="26"/>
    </row>
    <row r="1479" spans="1:51" ht="12.75" customHeight="1" x14ac:dyDescent="0.25">
      <c r="A1479" s="26"/>
      <c r="B1479" s="66"/>
      <c r="C1479" s="67"/>
      <c r="D1479" s="67"/>
      <c r="E1479" s="26"/>
      <c r="F1479" s="26"/>
      <c r="G1479" s="26"/>
      <c r="H1479" s="26"/>
      <c r="I1479" s="26"/>
      <c r="J1479" s="26"/>
      <c r="K1479" s="26"/>
      <c r="L1479" s="26"/>
      <c r="M1479" s="26"/>
      <c r="N1479" s="26"/>
      <c r="O1479" s="26"/>
      <c r="P1479" s="26"/>
      <c r="Q1479" s="26"/>
      <c r="R1479" s="26"/>
      <c r="S1479" s="26"/>
      <c r="T1479" s="26"/>
      <c r="U1479" s="26"/>
      <c r="V1479" s="26"/>
      <c r="W1479" s="26"/>
      <c r="X1479" s="26"/>
      <c r="Y1479" s="26"/>
      <c r="Z1479" s="26"/>
      <c r="AA1479" s="26"/>
      <c r="AB1479" s="26"/>
      <c r="AC1479" s="26"/>
      <c r="AD1479" s="26"/>
      <c r="AE1479" s="26"/>
      <c r="AF1479" s="26"/>
      <c r="AG1479" s="26"/>
      <c r="AH1479" s="26"/>
      <c r="AI1479" s="26"/>
      <c r="AJ1479" s="26"/>
      <c r="AK1479" s="26"/>
      <c r="AL1479" s="26"/>
      <c r="AM1479" s="26"/>
      <c r="AN1479" s="26"/>
      <c r="AO1479" s="26"/>
      <c r="AP1479" s="26"/>
      <c r="AQ1479" s="26"/>
      <c r="AR1479" s="26"/>
      <c r="AS1479" s="26"/>
      <c r="AT1479" s="26"/>
      <c r="AU1479" s="26"/>
      <c r="AV1479" s="26"/>
      <c r="AW1479" s="26"/>
      <c r="AX1479" s="26"/>
      <c r="AY1479" s="26"/>
    </row>
    <row r="1480" spans="1:51" ht="12.75" customHeight="1" x14ac:dyDescent="0.25">
      <c r="A1480" s="26"/>
      <c r="B1480" s="66"/>
      <c r="C1480" s="67"/>
      <c r="D1480" s="67"/>
      <c r="E1480" s="26"/>
      <c r="F1480" s="26"/>
      <c r="G1480" s="26"/>
      <c r="H1480" s="26"/>
      <c r="I1480" s="26"/>
      <c r="J1480" s="26"/>
      <c r="K1480" s="26"/>
      <c r="L1480" s="26"/>
      <c r="M1480" s="26"/>
      <c r="N1480" s="26"/>
      <c r="O1480" s="26"/>
      <c r="P1480" s="26"/>
      <c r="Q1480" s="26"/>
      <c r="R1480" s="26"/>
      <c r="S1480" s="26"/>
      <c r="T1480" s="26"/>
      <c r="U1480" s="26"/>
      <c r="V1480" s="26"/>
      <c r="W1480" s="26"/>
      <c r="X1480" s="26"/>
      <c r="Y1480" s="26"/>
      <c r="Z1480" s="26"/>
      <c r="AA1480" s="26"/>
      <c r="AB1480" s="26"/>
      <c r="AC1480" s="26"/>
      <c r="AD1480" s="26"/>
      <c r="AE1480" s="26"/>
      <c r="AF1480" s="26"/>
      <c r="AG1480" s="26"/>
      <c r="AH1480" s="26"/>
      <c r="AI1480" s="26"/>
      <c r="AJ1480" s="26"/>
      <c r="AK1480" s="26"/>
      <c r="AL1480" s="26"/>
      <c r="AM1480" s="26"/>
      <c r="AN1480" s="26"/>
      <c r="AO1480" s="26"/>
      <c r="AP1480" s="26"/>
      <c r="AQ1480" s="26"/>
      <c r="AR1480" s="26"/>
      <c r="AS1480" s="26"/>
      <c r="AT1480" s="26"/>
      <c r="AU1480" s="26"/>
      <c r="AV1480" s="26"/>
      <c r="AW1480" s="26"/>
      <c r="AX1480" s="26"/>
      <c r="AY1480" s="26"/>
    </row>
    <row r="1481" spans="1:51" ht="12.75" customHeight="1" x14ac:dyDescent="0.25">
      <c r="A1481" s="26"/>
      <c r="B1481" s="66"/>
      <c r="C1481" s="67"/>
      <c r="D1481" s="67"/>
      <c r="E1481" s="26"/>
      <c r="F1481" s="26"/>
      <c r="G1481" s="26"/>
      <c r="H1481" s="26"/>
      <c r="I1481" s="26"/>
      <c r="J1481" s="26"/>
      <c r="K1481" s="26"/>
      <c r="L1481" s="26"/>
      <c r="M1481" s="26"/>
      <c r="N1481" s="26"/>
      <c r="O1481" s="26"/>
      <c r="P1481" s="26"/>
      <c r="Q1481" s="26"/>
      <c r="R1481" s="26"/>
      <c r="S1481" s="26"/>
      <c r="T1481" s="26"/>
      <c r="U1481" s="26"/>
      <c r="V1481" s="26"/>
      <c r="W1481" s="26"/>
      <c r="X1481" s="26"/>
      <c r="Y1481" s="26"/>
      <c r="Z1481" s="26"/>
      <c r="AA1481" s="26"/>
      <c r="AB1481" s="26"/>
      <c r="AC1481" s="26"/>
      <c r="AD1481" s="26"/>
      <c r="AE1481" s="26"/>
      <c r="AF1481" s="26"/>
      <c r="AG1481" s="26"/>
      <c r="AH1481" s="26"/>
      <c r="AI1481" s="26"/>
      <c r="AJ1481" s="26"/>
      <c r="AK1481" s="26"/>
      <c r="AL1481" s="26"/>
      <c r="AM1481" s="26"/>
      <c r="AN1481" s="26"/>
      <c r="AO1481" s="26"/>
      <c r="AP1481" s="26"/>
      <c r="AQ1481" s="26"/>
      <c r="AR1481" s="26"/>
      <c r="AS1481" s="26"/>
      <c r="AT1481" s="26"/>
      <c r="AU1481" s="26"/>
      <c r="AV1481" s="26"/>
      <c r="AW1481" s="26"/>
      <c r="AX1481" s="26"/>
      <c r="AY1481" s="26"/>
    </row>
    <row r="1482" spans="1:51" ht="12.75" customHeight="1" x14ac:dyDescent="0.25">
      <c r="A1482" s="26"/>
      <c r="B1482" s="66"/>
      <c r="C1482" s="67"/>
      <c r="D1482" s="67"/>
      <c r="E1482" s="26"/>
      <c r="F1482" s="26"/>
      <c r="G1482" s="26"/>
      <c r="H1482" s="26"/>
      <c r="I1482" s="26"/>
      <c r="J1482" s="26"/>
      <c r="K1482" s="26"/>
      <c r="L1482" s="26"/>
      <c r="M1482" s="26"/>
      <c r="N1482" s="26"/>
      <c r="O1482" s="26"/>
      <c r="P1482" s="26"/>
      <c r="Q1482" s="26"/>
      <c r="R1482" s="26"/>
      <c r="S1482" s="26"/>
      <c r="T1482" s="26"/>
      <c r="U1482" s="26"/>
      <c r="V1482" s="26"/>
      <c r="W1482" s="26"/>
      <c r="X1482" s="26"/>
      <c r="Y1482" s="26"/>
      <c r="Z1482" s="26"/>
      <c r="AA1482" s="26"/>
      <c r="AB1482" s="26"/>
      <c r="AC1482" s="26"/>
      <c r="AD1482" s="26"/>
      <c r="AE1482" s="26"/>
      <c r="AF1482" s="26"/>
      <c r="AG1482" s="26"/>
      <c r="AH1482" s="26"/>
      <c r="AI1482" s="26"/>
      <c r="AJ1482" s="26"/>
      <c r="AK1482" s="26"/>
      <c r="AL1482" s="26"/>
      <c r="AM1482" s="26"/>
      <c r="AN1482" s="26"/>
      <c r="AO1482" s="26"/>
      <c r="AP1482" s="26"/>
      <c r="AQ1482" s="26"/>
      <c r="AR1482" s="26"/>
      <c r="AS1482" s="26"/>
      <c r="AT1482" s="26"/>
      <c r="AU1482" s="26"/>
      <c r="AV1482" s="26"/>
      <c r="AW1482" s="26"/>
      <c r="AX1482" s="26"/>
      <c r="AY1482" s="26"/>
    </row>
    <row r="1483" spans="1:51" ht="12.75" customHeight="1" x14ac:dyDescent="0.25">
      <c r="A1483" s="26"/>
      <c r="B1483" s="66"/>
      <c r="C1483" s="67"/>
      <c r="D1483" s="67"/>
      <c r="E1483" s="26"/>
      <c r="F1483" s="26"/>
      <c r="G1483" s="26"/>
      <c r="H1483" s="26"/>
      <c r="I1483" s="26"/>
      <c r="J1483" s="26"/>
      <c r="K1483" s="26"/>
      <c r="L1483" s="26"/>
      <c r="M1483" s="26"/>
      <c r="N1483" s="26"/>
      <c r="O1483" s="26"/>
      <c r="P1483" s="26"/>
      <c r="Q1483" s="26"/>
      <c r="R1483" s="26"/>
      <c r="S1483" s="26"/>
      <c r="T1483" s="26"/>
      <c r="U1483" s="26"/>
      <c r="V1483" s="26"/>
      <c r="W1483" s="26"/>
      <c r="X1483" s="26"/>
      <c r="Y1483" s="26"/>
      <c r="Z1483" s="26"/>
      <c r="AA1483" s="26"/>
      <c r="AB1483" s="26"/>
      <c r="AC1483" s="26"/>
      <c r="AD1483" s="26"/>
      <c r="AE1483" s="26"/>
      <c r="AF1483" s="26"/>
      <c r="AG1483" s="26"/>
      <c r="AH1483" s="26"/>
      <c r="AI1483" s="26"/>
      <c r="AJ1483" s="26"/>
      <c r="AK1483" s="26"/>
      <c r="AL1483" s="26"/>
      <c r="AM1483" s="26"/>
      <c r="AN1483" s="26"/>
      <c r="AO1483" s="26"/>
      <c r="AP1483" s="26"/>
      <c r="AQ1483" s="26"/>
      <c r="AR1483" s="26"/>
      <c r="AS1483" s="26"/>
      <c r="AT1483" s="26"/>
      <c r="AU1483" s="26"/>
      <c r="AV1483" s="26"/>
      <c r="AW1483" s="26"/>
      <c r="AX1483" s="26"/>
      <c r="AY1483" s="26"/>
    </row>
    <row r="1484" spans="1:51" ht="12.75" customHeight="1" x14ac:dyDescent="0.25">
      <c r="A1484" s="26"/>
      <c r="B1484" s="66"/>
      <c r="C1484" s="67"/>
      <c r="D1484" s="67"/>
      <c r="E1484" s="26"/>
      <c r="F1484" s="26"/>
      <c r="G1484" s="26"/>
      <c r="H1484" s="26"/>
      <c r="I1484" s="26"/>
      <c r="J1484" s="26"/>
      <c r="K1484" s="26"/>
      <c r="L1484" s="26"/>
      <c r="M1484" s="26"/>
      <c r="N1484" s="26"/>
      <c r="O1484" s="26"/>
      <c r="P1484" s="26"/>
      <c r="Q1484" s="26"/>
      <c r="R1484" s="26"/>
      <c r="S1484" s="26"/>
      <c r="T1484" s="26"/>
      <c r="U1484" s="26"/>
      <c r="V1484" s="26"/>
      <c r="W1484" s="26"/>
      <c r="X1484" s="26"/>
      <c r="Y1484" s="26"/>
      <c r="Z1484" s="26"/>
      <c r="AA1484" s="26"/>
      <c r="AB1484" s="26"/>
      <c r="AC1484" s="26"/>
      <c r="AD1484" s="26"/>
      <c r="AE1484" s="26"/>
      <c r="AF1484" s="26"/>
      <c r="AG1484" s="26"/>
      <c r="AH1484" s="26"/>
      <c r="AI1484" s="26"/>
      <c r="AJ1484" s="26"/>
      <c r="AK1484" s="26"/>
      <c r="AL1484" s="26"/>
      <c r="AM1484" s="26"/>
      <c r="AN1484" s="26"/>
      <c r="AO1484" s="26"/>
      <c r="AP1484" s="26"/>
      <c r="AQ1484" s="26"/>
      <c r="AR1484" s="26"/>
      <c r="AS1484" s="26"/>
      <c r="AT1484" s="26"/>
      <c r="AU1484" s="26"/>
      <c r="AV1484" s="26"/>
      <c r="AW1484" s="26"/>
      <c r="AX1484" s="26"/>
      <c r="AY1484" s="26"/>
    </row>
    <row r="1485" spans="1:51" ht="12.75" customHeight="1" x14ac:dyDescent="0.25">
      <c r="A1485" s="26"/>
      <c r="B1485" s="66"/>
      <c r="C1485" s="67"/>
      <c r="D1485" s="67"/>
      <c r="E1485" s="26"/>
      <c r="F1485" s="26"/>
      <c r="G1485" s="26"/>
      <c r="H1485" s="26"/>
      <c r="I1485" s="26"/>
      <c r="J1485" s="26"/>
      <c r="K1485" s="26"/>
      <c r="L1485" s="26"/>
      <c r="M1485" s="26"/>
      <c r="N1485" s="26"/>
      <c r="O1485" s="26"/>
      <c r="P1485" s="26"/>
      <c r="Q1485" s="26"/>
      <c r="R1485" s="26"/>
      <c r="S1485" s="26"/>
      <c r="T1485" s="26"/>
      <c r="U1485" s="26"/>
      <c r="V1485" s="26"/>
      <c r="W1485" s="26"/>
      <c r="X1485" s="26"/>
      <c r="Y1485" s="26"/>
      <c r="Z1485" s="26"/>
      <c r="AA1485" s="26"/>
      <c r="AB1485" s="26"/>
      <c r="AC1485" s="26"/>
      <c r="AD1485" s="26"/>
      <c r="AE1485" s="26"/>
      <c r="AF1485" s="26"/>
      <c r="AG1485" s="26"/>
      <c r="AH1485" s="26"/>
      <c r="AI1485" s="26"/>
      <c r="AJ1485" s="26"/>
      <c r="AK1485" s="26"/>
      <c r="AL1485" s="26"/>
      <c r="AM1485" s="26"/>
      <c r="AN1485" s="26"/>
      <c r="AO1485" s="26"/>
      <c r="AP1485" s="26"/>
      <c r="AQ1485" s="26"/>
      <c r="AR1485" s="26"/>
      <c r="AS1485" s="26"/>
      <c r="AT1485" s="26"/>
      <c r="AU1485" s="26"/>
      <c r="AV1485" s="26"/>
      <c r="AW1485" s="26"/>
      <c r="AX1485" s="26"/>
      <c r="AY1485" s="26"/>
    </row>
    <row r="1486" spans="1:51" ht="12.75" customHeight="1" x14ac:dyDescent="0.25">
      <c r="A1486" s="26"/>
      <c r="B1486" s="66"/>
      <c r="C1486" s="67"/>
      <c r="D1486" s="67"/>
      <c r="E1486" s="26"/>
      <c r="F1486" s="26"/>
      <c r="G1486" s="26"/>
      <c r="H1486" s="26"/>
      <c r="I1486" s="26"/>
      <c r="J1486" s="26"/>
      <c r="K1486" s="26"/>
      <c r="L1486" s="26"/>
      <c r="M1486" s="26"/>
      <c r="N1486" s="26"/>
      <c r="O1486" s="26"/>
      <c r="P1486" s="26"/>
      <c r="Q1486" s="26"/>
      <c r="R1486" s="26"/>
      <c r="S1486" s="26"/>
      <c r="T1486" s="26"/>
      <c r="U1486" s="26"/>
      <c r="V1486" s="26"/>
      <c r="W1486" s="26"/>
      <c r="X1486" s="26"/>
      <c r="Y1486" s="26"/>
      <c r="Z1486" s="26"/>
      <c r="AA1486" s="26"/>
      <c r="AB1486" s="26"/>
      <c r="AC1486" s="26"/>
      <c r="AD1486" s="26"/>
      <c r="AE1486" s="26"/>
      <c r="AF1486" s="26"/>
      <c r="AG1486" s="26"/>
      <c r="AH1486" s="26"/>
      <c r="AI1486" s="26"/>
      <c r="AJ1486" s="26"/>
      <c r="AK1486" s="26"/>
      <c r="AL1486" s="26"/>
      <c r="AM1486" s="26"/>
      <c r="AN1486" s="26"/>
      <c r="AO1486" s="26"/>
      <c r="AP1486" s="26"/>
      <c r="AQ1486" s="26"/>
      <c r="AR1486" s="26"/>
      <c r="AS1486" s="26"/>
      <c r="AT1486" s="26"/>
      <c r="AU1486" s="26"/>
      <c r="AV1486" s="26"/>
      <c r="AW1486" s="26"/>
      <c r="AX1486" s="26"/>
      <c r="AY1486" s="26"/>
    </row>
    <row r="1487" spans="1:51" ht="12.75" customHeight="1" x14ac:dyDescent="0.25">
      <c r="A1487" s="26"/>
      <c r="B1487" s="66"/>
      <c r="C1487" s="67"/>
      <c r="D1487" s="67"/>
      <c r="E1487" s="26"/>
      <c r="F1487" s="26"/>
      <c r="G1487" s="26"/>
      <c r="H1487" s="26"/>
      <c r="I1487" s="26"/>
      <c r="J1487" s="26"/>
      <c r="K1487" s="26"/>
      <c r="L1487" s="26"/>
      <c r="M1487" s="26"/>
      <c r="N1487" s="26"/>
      <c r="O1487" s="26"/>
      <c r="P1487" s="26"/>
      <c r="Q1487" s="26"/>
      <c r="R1487" s="26"/>
      <c r="S1487" s="26"/>
      <c r="T1487" s="26"/>
      <c r="U1487" s="26"/>
      <c r="V1487" s="26"/>
      <c r="W1487" s="26"/>
      <c r="X1487" s="26"/>
      <c r="Y1487" s="26"/>
      <c r="Z1487" s="26"/>
      <c r="AA1487" s="26"/>
      <c r="AB1487" s="26"/>
      <c r="AC1487" s="26"/>
      <c r="AD1487" s="26"/>
      <c r="AE1487" s="26"/>
      <c r="AF1487" s="26"/>
      <c r="AG1487" s="26"/>
      <c r="AH1487" s="26"/>
      <c r="AI1487" s="26"/>
      <c r="AJ1487" s="26"/>
      <c r="AK1487" s="26"/>
      <c r="AL1487" s="26"/>
      <c r="AM1487" s="26"/>
      <c r="AN1487" s="26"/>
      <c r="AO1487" s="26"/>
      <c r="AP1487" s="26"/>
      <c r="AQ1487" s="26"/>
      <c r="AR1487" s="26"/>
      <c r="AS1487" s="26"/>
      <c r="AT1487" s="26"/>
      <c r="AU1487" s="26"/>
      <c r="AV1487" s="26"/>
      <c r="AW1487" s="26"/>
      <c r="AX1487" s="26"/>
      <c r="AY1487" s="26"/>
    </row>
    <row r="1488" spans="1:51" ht="12.75" customHeight="1" x14ac:dyDescent="0.25">
      <c r="A1488" s="26"/>
      <c r="B1488" s="66"/>
      <c r="C1488" s="67"/>
      <c r="D1488" s="67"/>
      <c r="E1488" s="26"/>
      <c r="F1488" s="26"/>
      <c r="G1488" s="26"/>
      <c r="H1488" s="26"/>
      <c r="I1488" s="26"/>
      <c r="J1488" s="26"/>
      <c r="K1488" s="26"/>
      <c r="L1488" s="26"/>
      <c r="M1488" s="26"/>
      <c r="N1488" s="26"/>
      <c r="O1488" s="26"/>
      <c r="P1488" s="26"/>
      <c r="Q1488" s="26"/>
      <c r="R1488" s="26"/>
      <c r="S1488" s="26"/>
      <c r="T1488" s="26"/>
      <c r="U1488" s="26"/>
      <c r="V1488" s="26"/>
      <c r="W1488" s="26"/>
      <c r="X1488" s="26"/>
      <c r="Y1488" s="26"/>
      <c r="Z1488" s="26"/>
      <c r="AA1488" s="26"/>
      <c r="AB1488" s="26"/>
      <c r="AC1488" s="26"/>
      <c r="AD1488" s="26"/>
      <c r="AE1488" s="26"/>
      <c r="AF1488" s="26"/>
      <c r="AG1488" s="26"/>
      <c r="AH1488" s="26"/>
      <c r="AI1488" s="26"/>
      <c r="AJ1488" s="26"/>
      <c r="AK1488" s="26"/>
      <c r="AL1488" s="26"/>
      <c r="AM1488" s="26"/>
      <c r="AN1488" s="26"/>
      <c r="AO1488" s="26"/>
      <c r="AP1488" s="26"/>
      <c r="AQ1488" s="26"/>
      <c r="AR1488" s="26"/>
      <c r="AS1488" s="26"/>
      <c r="AT1488" s="26"/>
      <c r="AU1488" s="26"/>
      <c r="AV1488" s="26"/>
      <c r="AW1488" s="26"/>
      <c r="AX1488" s="26"/>
      <c r="AY1488" s="26"/>
    </row>
    <row r="1489" spans="1:51" ht="12.75" customHeight="1" x14ac:dyDescent="0.25">
      <c r="A1489" s="26"/>
      <c r="B1489" s="66"/>
      <c r="C1489" s="67"/>
      <c r="D1489" s="67"/>
      <c r="E1489" s="26"/>
      <c r="F1489" s="26"/>
      <c r="G1489" s="26"/>
      <c r="H1489" s="26"/>
      <c r="I1489" s="26"/>
      <c r="J1489" s="26"/>
      <c r="K1489" s="26"/>
      <c r="L1489" s="26"/>
      <c r="M1489" s="26"/>
      <c r="N1489" s="26"/>
      <c r="O1489" s="26"/>
      <c r="P1489" s="26"/>
      <c r="Q1489" s="26"/>
      <c r="R1489" s="26"/>
      <c r="S1489" s="26"/>
      <c r="T1489" s="26"/>
      <c r="U1489" s="26"/>
      <c r="V1489" s="26"/>
      <c r="W1489" s="26"/>
      <c r="X1489" s="26"/>
      <c r="Y1489" s="26"/>
      <c r="Z1489" s="26"/>
      <c r="AA1489" s="26"/>
      <c r="AB1489" s="26"/>
      <c r="AC1489" s="26"/>
      <c r="AD1489" s="26"/>
      <c r="AE1489" s="26"/>
      <c r="AF1489" s="26"/>
      <c r="AG1489" s="26"/>
      <c r="AH1489" s="26"/>
      <c r="AI1489" s="26"/>
      <c r="AJ1489" s="26"/>
      <c r="AK1489" s="26"/>
      <c r="AL1489" s="26"/>
      <c r="AM1489" s="26"/>
      <c r="AN1489" s="26"/>
      <c r="AO1489" s="26"/>
      <c r="AP1489" s="26"/>
      <c r="AQ1489" s="26"/>
      <c r="AR1489" s="26"/>
      <c r="AS1489" s="26"/>
      <c r="AT1489" s="26"/>
      <c r="AU1489" s="26"/>
      <c r="AV1489" s="26"/>
      <c r="AW1489" s="26"/>
      <c r="AX1489" s="26"/>
      <c r="AY1489" s="26"/>
    </row>
    <row r="1490" spans="1:51" ht="12.75" customHeight="1" x14ac:dyDescent="0.25">
      <c r="A1490" s="26"/>
      <c r="B1490" s="66"/>
      <c r="C1490" s="67"/>
      <c r="D1490" s="67"/>
      <c r="E1490" s="26"/>
      <c r="F1490" s="26"/>
      <c r="G1490" s="26"/>
      <c r="H1490" s="26"/>
      <c r="I1490" s="26"/>
      <c r="J1490" s="26"/>
      <c r="K1490" s="26"/>
      <c r="L1490" s="26"/>
      <c r="M1490" s="26"/>
      <c r="N1490" s="26"/>
      <c r="O1490" s="26"/>
      <c r="P1490" s="26"/>
      <c r="Q1490" s="26"/>
      <c r="R1490" s="26"/>
      <c r="S1490" s="26"/>
      <c r="T1490" s="26"/>
      <c r="U1490" s="26"/>
      <c r="V1490" s="26"/>
      <c r="W1490" s="26"/>
      <c r="X1490" s="26"/>
      <c r="Y1490" s="26"/>
      <c r="Z1490" s="26"/>
      <c r="AA1490" s="26"/>
      <c r="AB1490" s="26"/>
      <c r="AC1490" s="26"/>
      <c r="AD1490" s="26"/>
      <c r="AE1490" s="26"/>
      <c r="AF1490" s="26"/>
      <c r="AG1490" s="26"/>
      <c r="AH1490" s="26"/>
      <c r="AI1490" s="26"/>
      <c r="AJ1490" s="26"/>
      <c r="AK1490" s="26"/>
      <c r="AL1490" s="26"/>
      <c r="AM1490" s="26"/>
      <c r="AN1490" s="26"/>
      <c r="AO1490" s="26"/>
      <c r="AP1490" s="26"/>
      <c r="AQ1490" s="26"/>
      <c r="AR1490" s="26"/>
      <c r="AS1490" s="26"/>
      <c r="AT1490" s="26"/>
      <c r="AU1490" s="26"/>
      <c r="AV1490" s="26"/>
      <c r="AW1490" s="26"/>
      <c r="AX1490" s="26"/>
      <c r="AY1490" s="26"/>
    </row>
    <row r="1491" spans="1:51" ht="12.75" customHeight="1" x14ac:dyDescent="0.25">
      <c r="A1491" s="26"/>
      <c r="B1491" s="66"/>
      <c r="C1491" s="67"/>
      <c r="D1491" s="67"/>
      <c r="E1491" s="26"/>
      <c r="F1491" s="26"/>
      <c r="G1491" s="26"/>
      <c r="H1491" s="26"/>
      <c r="I1491" s="26"/>
      <c r="J1491" s="26"/>
      <c r="K1491" s="26"/>
      <c r="L1491" s="26"/>
      <c r="M1491" s="26"/>
      <c r="N1491" s="26"/>
      <c r="O1491" s="26"/>
      <c r="P1491" s="26"/>
      <c r="Q1491" s="26"/>
      <c r="R1491" s="26"/>
      <c r="S1491" s="26"/>
      <c r="T1491" s="26"/>
      <c r="U1491" s="26"/>
      <c r="V1491" s="26"/>
      <c r="W1491" s="26"/>
      <c r="X1491" s="26"/>
      <c r="Y1491" s="26"/>
      <c r="Z1491" s="26"/>
      <c r="AA1491" s="26"/>
      <c r="AB1491" s="26"/>
      <c r="AC1491" s="26"/>
      <c r="AD1491" s="26"/>
      <c r="AE1491" s="26"/>
      <c r="AF1491" s="26"/>
      <c r="AG1491" s="26"/>
      <c r="AH1491" s="26"/>
      <c r="AI1491" s="26"/>
      <c r="AJ1491" s="26"/>
      <c r="AK1491" s="26"/>
      <c r="AL1491" s="26"/>
      <c r="AM1491" s="26"/>
      <c r="AN1491" s="26"/>
      <c r="AO1491" s="26"/>
      <c r="AP1491" s="26"/>
      <c r="AQ1491" s="26"/>
      <c r="AR1491" s="26"/>
      <c r="AS1491" s="26"/>
      <c r="AT1491" s="26"/>
      <c r="AU1491" s="26"/>
      <c r="AV1491" s="26"/>
      <c r="AW1491" s="26"/>
      <c r="AX1491" s="26"/>
      <c r="AY1491" s="26"/>
    </row>
    <row r="1492" spans="1:51" ht="12.75" customHeight="1" x14ac:dyDescent="0.25">
      <c r="A1492" s="26"/>
      <c r="B1492" s="66"/>
      <c r="C1492" s="67"/>
      <c r="D1492" s="67"/>
      <c r="E1492" s="26"/>
      <c r="F1492" s="26"/>
      <c r="G1492" s="26"/>
      <c r="H1492" s="26"/>
      <c r="I1492" s="26"/>
      <c r="J1492" s="26"/>
      <c r="K1492" s="26"/>
      <c r="L1492" s="26"/>
      <c r="M1492" s="26"/>
      <c r="N1492" s="26"/>
      <c r="O1492" s="26"/>
      <c r="P1492" s="26"/>
      <c r="Q1492" s="26"/>
      <c r="R1492" s="26"/>
      <c r="S1492" s="26"/>
      <c r="T1492" s="26"/>
      <c r="U1492" s="26"/>
      <c r="V1492" s="26"/>
      <c r="W1492" s="26"/>
      <c r="X1492" s="26"/>
      <c r="Y1492" s="26"/>
      <c r="Z1492" s="26"/>
      <c r="AA1492" s="26"/>
      <c r="AB1492" s="26"/>
      <c r="AC1492" s="26"/>
      <c r="AD1492" s="26"/>
      <c r="AE1492" s="26"/>
      <c r="AF1492" s="26"/>
      <c r="AG1492" s="26"/>
      <c r="AH1492" s="26"/>
      <c r="AI1492" s="26"/>
      <c r="AJ1492" s="26"/>
      <c r="AK1492" s="26"/>
      <c r="AL1492" s="26"/>
      <c r="AM1492" s="26"/>
      <c r="AN1492" s="26"/>
      <c r="AO1492" s="26"/>
      <c r="AP1492" s="26"/>
      <c r="AQ1492" s="26"/>
      <c r="AR1492" s="26"/>
      <c r="AS1492" s="26"/>
      <c r="AT1492" s="26"/>
      <c r="AU1492" s="26"/>
      <c r="AV1492" s="26"/>
      <c r="AW1492" s="26"/>
      <c r="AX1492" s="26"/>
      <c r="AY1492" s="26"/>
    </row>
    <row r="1493" spans="1:51" ht="12.75" customHeight="1" x14ac:dyDescent="0.25">
      <c r="A1493" s="26"/>
      <c r="B1493" s="66"/>
      <c r="C1493" s="67"/>
      <c r="D1493" s="67"/>
      <c r="E1493" s="26"/>
      <c r="F1493" s="26"/>
      <c r="G1493" s="26"/>
      <c r="H1493" s="26"/>
      <c r="I1493" s="26"/>
      <c r="J1493" s="26"/>
      <c r="K1493" s="26"/>
      <c r="L1493" s="26"/>
      <c r="M1493" s="26"/>
      <c r="N1493" s="26"/>
      <c r="O1493" s="26"/>
      <c r="P1493" s="26"/>
      <c r="Q1493" s="26"/>
      <c r="R1493" s="26"/>
      <c r="S1493" s="26"/>
      <c r="T1493" s="26"/>
      <c r="U1493" s="26"/>
      <c r="V1493" s="26"/>
      <c r="W1493" s="26"/>
      <c r="X1493" s="26"/>
      <c r="Y1493" s="26"/>
      <c r="Z1493" s="26"/>
      <c r="AA1493" s="26"/>
      <c r="AB1493" s="26"/>
      <c r="AC1493" s="26"/>
      <c r="AD1493" s="26"/>
      <c r="AE1493" s="26"/>
      <c r="AF1493" s="26"/>
      <c r="AG1493" s="26"/>
      <c r="AH1493" s="26"/>
      <c r="AI1493" s="26"/>
      <c r="AJ1493" s="26"/>
      <c r="AK1493" s="26"/>
      <c r="AL1493" s="26"/>
      <c r="AM1493" s="26"/>
      <c r="AN1493" s="26"/>
      <c r="AO1493" s="26"/>
      <c r="AP1493" s="26"/>
      <c r="AQ1493" s="26"/>
      <c r="AR1493" s="26"/>
      <c r="AS1493" s="26"/>
      <c r="AT1493" s="26"/>
      <c r="AU1493" s="26"/>
      <c r="AV1493" s="26"/>
      <c r="AW1493" s="26"/>
      <c r="AX1493" s="26"/>
      <c r="AY1493" s="26"/>
    </row>
    <row r="1494" spans="1:51" ht="12.75" customHeight="1" x14ac:dyDescent="0.25">
      <c r="A1494" s="26"/>
      <c r="B1494" s="66"/>
      <c r="C1494" s="67"/>
      <c r="D1494" s="67"/>
      <c r="E1494" s="26"/>
      <c r="F1494" s="26"/>
      <c r="G1494" s="26"/>
      <c r="H1494" s="26"/>
      <c r="I1494" s="26"/>
      <c r="J1494" s="26"/>
      <c r="K1494" s="26"/>
      <c r="L1494" s="26"/>
      <c r="M1494" s="26"/>
      <c r="N1494" s="26"/>
      <c r="O1494" s="26"/>
      <c r="P1494" s="26"/>
      <c r="Q1494" s="26"/>
      <c r="R1494" s="26"/>
      <c r="S1494" s="26"/>
      <c r="T1494" s="26"/>
      <c r="U1494" s="26"/>
      <c r="V1494" s="26"/>
      <c r="W1494" s="26"/>
      <c r="X1494" s="26"/>
      <c r="Y1494" s="26"/>
      <c r="Z1494" s="26"/>
      <c r="AA1494" s="26"/>
      <c r="AB1494" s="26"/>
      <c r="AC1494" s="26"/>
      <c r="AD1494" s="26"/>
      <c r="AE1494" s="26"/>
      <c r="AF1494" s="26"/>
      <c r="AG1494" s="26"/>
      <c r="AH1494" s="26"/>
      <c r="AI1494" s="26"/>
      <c r="AJ1494" s="26"/>
      <c r="AK1494" s="26"/>
      <c r="AL1494" s="26"/>
      <c r="AM1494" s="26"/>
      <c r="AN1494" s="26"/>
      <c r="AO1494" s="26"/>
      <c r="AP1494" s="26"/>
      <c r="AQ1494" s="26"/>
      <c r="AR1494" s="26"/>
      <c r="AS1494" s="26"/>
      <c r="AT1494" s="26"/>
      <c r="AU1494" s="26"/>
      <c r="AV1494" s="26"/>
      <c r="AW1494" s="26"/>
      <c r="AX1494" s="26"/>
      <c r="AY1494" s="26"/>
    </row>
    <row r="1495" spans="1:51" ht="12.75" customHeight="1" x14ac:dyDescent="0.25">
      <c r="A1495" s="26"/>
      <c r="B1495" s="66"/>
      <c r="C1495" s="67"/>
      <c r="D1495" s="67"/>
      <c r="E1495" s="26"/>
      <c r="F1495" s="26"/>
      <c r="G1495" s="26"/>
      <c r="H1495" s="26"/>
      <c r="I1495" s="26"/>
      <c r="J1495" s="26"/>
      <c r="K1495" s="26"/>
      <c r="L1495" s="26"/>
      <c r="M1495" s="26"/>
      <c r="N1495" s="26"/>
      <c r="O1495" s="26"/>
      <c r="P1495" s="26"/>
      <c r="Q1495" s="26"/>
      <c r="R1495" s="26"/>
      <c r="S1495" s="26"/>
      <c r="T1495" s="26"/>
      <c r="U1495" s="26"/>
      <c r="V1495" s="26"/>
      <c r="W1495" s="26"/>
      <c r="X1495" s="26"/>
      <c r="Y1495" s="26"/>
      <c r="Z1495" s="26"/>
      <c r="AA1495" s="26"/>
      <c r="AB1495" s="26"/>
      <c r="AC1495" s="26"/>
      <c r="AD1495" s="26"/>
      <c r="AE1495" s="26"/>
      <c r="AF1495" s="26"/>
      <c r="AG1495" s="26"/>
      <c r="AH1495" s="26"/>
      <c r="AI1495" s="26"/>
      <c r="AJ1495" s="26"/>
      <c r="AK1495" s="26"/>
      <c r="AL1495" s="26"/>
      <c r="AM1495" s="26"/>
      <c r="AN1495" s="26"/>
      <c r="AO1495" s="26"/>
      <c r="AP1495" s="26"/>
      <c r="AQ1495" s="26"/>
      <c r="AR1495" s="26"/>
      <c r="AS1495" s="26"/>
      <c r="AT1495" s="26"/>
      <c r="AU1495" s="26"/>
      <c r="AV1495" s="26"/>
      <c r="AW1495" s="26"/>
      <c r="AX1495" s="26"/>
      <c r="AY1495" s="26"/>
    </row>
    <row r="1496" spans="1:51" ht="12.75" customHeight="1" x14ac:dyDescent="0.25">
      <c r="A1496" s="26"/>
      <c r="B1496" s="66"/>
      <c r="C1496" s="67"/>
      <c r="D1496" s="67"/>
      <c r="E1496" s="26"/>
      <c r="F1496" s="26"/>
      <c r="G1496" s="26"/>
      <c r="H1496" s="26"/>
      <c r="I1496" s="26"/>
      <c r="J1496" s="26"/>
      <c r="K1496" s="26"/>
      <c r="L1496" s="26"/>
      <c r="M1496" s="26"/>
      <c r="N1496" s="26"/>
      <c r="O1496" s="26"/>
      <c r="P1496" s="26"/>
      <c r="Q1496" s="26"/>
      <c r="R1496" s="26"/>
      <c r="S1496" s="26"/>
      <c r="T1496" s="26"/>
      <c r="U1496" s="26"/>
      <c r="V1496" s="26"/>
      <c r="W1496" s="26"/>
      <c r="X1496" s="26"/>
      <c r="Y1496" s="26"/>
      <c r="Z1496" s="26"/>
      <c r="AA1496" s="26"/>
      <c r="AB1496" s="26"/>
      <c r="AC1496" s="26"/>
      <c r="AD1496" s="26"/>
      <c r="AE1496" s="26"/>
      <c r="AF1496" s="26"/>
      <c r="AG1496" s="26"/>
      <c r="AH1496" s="26"/>
      <c r="AI1496" s="26"/>
      <c r="AJ1496" s="26"/>
      <c r="AK1496" s="26"/>
      <c r="AL1496" s="26"/>
      <c r="AM1496" s="26"/>
      <c r="AN1496" s="26"/>
      <c r="AO1496" s="26"/>
      <c r="AP1496" s="26"/>
      <c r="AQ1496" s="26"/>
      <c r="AR1496" s="26"/>
      <c r="AS1496" s="26"/>
      <c r="AT1496" s="26"/>
      <c r="AU1496" s="26"/>
      <c r="AV1496" s="26"/>
      <c r="AW1496" s="26"/>
      <c r="AX1496" s="26"/>
      <c r="AY1496" s="26"/>
    </row>
    <row r="1497" spans="1:51" ht="12.75" customHeight="1" x14ac:dyDescent="0.25">
      <c r="A1497" s="26"/>
      <c r="B1497" s="66"/>
      <c r="C1497" s="67"/>
      <c r="D1497" s="67"/>
      <c r="E1497" s="26"/>
      <c r="F1497" s="26"/>
      <c r="G1497" s="26"/>
      <c r="H1497" s="26"/>
      <c r="I1497" s="26"/>
      <c r="J1497" s="26"/>
      <c r="K1497" s="26"/>
      <c r="L1497" s="26"/>
      <c r="M1497" s="26"/>
      <c r="N1497" s="26"/>
      <c r="O1497" s="26"/>
      <c r="P1497" s="26"/>
      <c r="Q1497" s="26"/>
      <c r="R1497" s="26"/>
      <c r="S1497" s="26"/>
      <c r="T1497" s="26"/>
      <c r="U1497" s="26"/>
      <c r="V1497" s="26"/>
      <c r="W1497" s="26"/>
      <c r="X1497" s="26"/>
      <c r="Y1497" s="26"/>
      <c r="Z1497" s="26"/>
      <c r="AA1497" s="26"/>
      <c r="AB1497" s="26"/>
      <c r="AC1497" s="26"/>
      <c r="AD1497" s="26"/>
      <c r="AE1497" s="26"/>
      <c r="AF1497" s="26"/>
      <c r="AG1497" s="26"/>
      <c r="AH1497" s="26"/>
      <c r="AI1497" s="26"/>
      <c r="AJ1497" s="26"/>
      <c r="AK1497" s="26"/>
      <c r="AL1497" s="26"/>
      <c r="AM1497" s="26"/>
      <c r="AN1497" s="26"/>
      <c r="AO1497" s="26"/>
      <c r="AP1497" s="26"/>
      <c r="AQ1497" s="26"/>
      <c r="AR1497" s="26"/>
      <c r="AS1497" s="26"/>
      <c r="AT1497" s="26"/>
      <c r="AU1497" s="26"/>
      <c r="AV1497" s="26"/>
      <c r="AW1497" s="26"/>
      <c r="AX1497" s="26"/>
      <c r="AY1497" s="26"/>
    </row>
    <row r="1498" spans="1:51" ht="12.75" customHeight="1" x14ac:dyDescent="0.25">
      <c r="A1498" s="26"/>
      <c r="B1498" s="66"/>
      <c r="C1498" s="67"/>
      <c r="D1498" s="67"/>
      <c r="E1498" s="26"/>
      <c r="F1498" s="26"/>
      <c r="G1498" s="26"/>
      <c r="H1498" s="26"/>
      <c r="I1498" s="26"/>
      <c r="J1498" s="26"/>
      <c r="K1498" s="26"/>
      <c r="L1498" s="26"/>
      <c r="M1498" s="26"/>
      <c r="N1498" s="26"/>
      <c r="O1498" s="26"/>
      <c r="P1498" s="26"/>
      <c r="Q1498" s="26"/>
      <c r="R1498" s="26"/>
      <c r="S1498" s="26"/>
      <c r="T1498" s="26"/>
      <c r="U1498" s="26"/>
      <c r="V1498" s="26"/>
      <c r="W1498" s="26"/>
      <c r="X1498" s="26"/>
      <c r="Y1498" s="26"/>
      <c r="Z1498" s="26"/>
      <c r="AA1498" s="26"/>
      <c r="AB1498" s="26"/>
      <c r="AC1498" s="26"/>
      <c r="AD1498" s="26"/>
      <c r="AE1498" s="26"/>
      <c r="AF1498" s="26"/>
      <c r="AG1498" s="26"/>
      <c r="AH1498" s="26"/>
      <c r="AI1498" s="26"/>
      <c r="AJ1498" s="26"/>
      <c r="AK1498" s="26"/>
      <c r="AL1498" s="26"/>
      <c r="AM1498" s="26"/>
      <c r="AN1498" s="26"/>
      <c r="AO1498" s="26"/>
      <c r="AP1498" s="26"/>
      <c r="AQ1498" s="26"/>
      <c r="AR1498" s="26"/>
      <c r="AS1498" s="26"/>
      <c r="AT1498" s="26"/>
      <c r="AU1498" s="26"/>
      <c r="AV1498" s="26"/>
      <c r="AW1498" s="26"/>
      <c r="AX1498" s="26"/>
      <c r="AY1498" s="26"/>
    </row>
    <row r="1499" spans="1:51" ht="12.75" customHeight="1" x14ac:dyDescent="0.25">
      <c r="A1499" s="26"/>
      <c r="B1499" s="66"/>
      <c r="C1499" s="67"/>
      <c r="D1499" s="67"/>
      <c r="E1499" s="26"/>
      <c r="F1499" s="26"/>
      <c r="G1499" s="26"/>
      <c r="H1499" s="26"/>
      <c r="I1499" s="26"/>
      <c r="J1499" s="26"/>
      <c r="K1499" s="26"/>
      <c r="L1499" s="26"/>
      <c r="M1499" s="26"/>
      <c r="N1499" s="26"/>
      <c r="O1499" s="26"/>
      <c r="P1499" s="26"/>
      <c r="Q1499" s="26"/>
      <c r="R1499" s="26"/>
      <c r="S1499" s="26"/>
      <c r="T1499" s="26"/>
      <c r="U1499" s="26"/>
      <c r="V1499" s="26"/>
      <c r="W1499" s="26"/>
      <c r="X1499" s="26"/>
      <c r="Y1499" s="26"/>
      <c r="Z1499" s="26"/>
      <c r="AA1499" s="26"/>
      <c r="AB1499" s="26"/>
      <c r="AC1499" s="26"/>
      <c r="AD1499" s="26"/>
      <c r="AE1499" s="26"/>
      <c r="AF1499" s="26"/>
      <c r="AG1499" s="26"/>
      <c r="AH1499" s="26"/>
      <c r="AI1499" s="26"/>
      <c r="AJ1499" s="26"/>
      <c r="AK1499" s="26"/>
      <c r="AL1499" s="26"/>
      <c r="AM1499" s="26"/>
      <c r="AN1499" s="26"/>
      <c r="AO1499" s="26"/>
      <c r="AP1499" s="26"/>
      <c r="AQ1499" s="26"/>
      <c r="AR1499" s="26"/>
      <c r="AS1499" s="26"/>
      <c r="AT1499" s="26"/>
      <c r="AU1499" s="26"/>
      <c r="AV1499" s="26"/>
      <c r="AW1499" s="26"/>
      <c r="AX1499" s="26"/>
      <c r="AY1499" s="26"/>
    </row>
    <row r="1500" spans="1:51" ht="12.75" customHeight="1" x14ac:dyDescent="0.25">
      <c r="A1500" s="26"/>
      <c r="B1500" s="66"/>
      <c r="C1500" s="67"/>
      <c r="D1500" s="67"/>
      <c r="E1500" s="26"/>
      <c r="F1500" s="26"/>
      <c r="G1500" s="26"/>
      <c r="H1500" s="26"/>
      <c r="I1500" s="26"/>
      <c r="J1500" s="26"/>
      <c r="K1500" s="26"/>
      <c r="L1500" s="26"/>
      <c r="M1500" s="26"/>
      <c r="N1500" s="26"/>
      <c r="O1500" s="26"/>
      <c r="P1500" s="26"/>
      <c r="Q1500" s="26"/>
      <c r="R1500" s="26"/>
      <c r="S1500" s="26"/>
      <c r="T1500" s="26"/>
      <c r="U1500" s="26"/>
      <c r="V1500" s="26"/>
      <c r="W1500" s="26"/>
      <c r="X1500" s="26"/>
      <c r="Y1500" s="26"/>
      <c r="Z1500" s="26"/>
      <c r="AA1500" s="26"/>
      <c r="AB1500" s="26"/>
      <c r="AC1500" s="26"/>
      <c r="AD1500" s="26"/>
      <c r="AE1500" s="26"/>
      <c r="AF1500" s="26"/>
      <c r="AG1500" s="26"/>
      <c r="AH1500" s="26"/>
      <c r="AI1500" s="26"/>
      <c r="AJ1500" s="26"/>
      <c r="AK1500" s="26"/>
      <c r="AL1500" s="26"/>
      <c r="AM1500" s="26"/>
      <c r="AN1500" s="26"/>
      <c r="AO1500" s="26"/>
      <c r="AP1500" s="26"/>
      <c r="AQ1500" s="26"/>
      <c r="AR1500" s="26"/>
      <c r="AS1500" s="26"/>
      <c r="AT1500" s="26"/>
      <c r="AU1500" s="26"/>
      <c r="AV1500" s="26"/>
      <c r="AW1500" s="26"/>
      <c r="AX1500" s="26"/>
      <c r="AY1500" s="26"/>
    </row>
    <row r="1501" spans="1:51" ht="12.75" customHeight="1" x14ac:dyDescent="0.25">
      <c r="A1501" s="26"/>
      <c r="B1501" s="66"/>
      <c r="C1501" s="67"/>
      <c r="D1501" s="67"/>
      <c r="E1501" s="26"/>
      <c r="F1501" s="26"/>
      <c r="G1501" s="26"/>
      <c r="H1501" s="26"/>
      <c r="I1501" s="26"/>
      <c r="J1501" s="26"/>
      <c r="K1501" s="26"/>
      <c r="L1501" s="26"/>
      <c r="M1501" s="26"/>
      <c r="N1501" s="26"/>
      <c r="O1501" s="26"/>
      <c r="P1501" s="26"/>
      <c r="Q1501" s="26"/>
      <c r="R1501" s="26"/>
      <c r="S1501" s="26"/>
      <c r="T1501" s="26"/>
      <c r="U1501" s="26"/>
      <c r="V1501" s="26"/>
      <c r="W1501" s="26"/>
      <c r="X1501" s="26"/>
      <c r="Y1501" s="26"/>
      <c r="Z1501" s="26"/>
      <c r="AA1501" s="26"/>
      <c r="AB1501" s="26"/>
      <c r="AC1501" s="26"/>
      <c r="AD1501" s="26"/>
      <c r="AE1501" s="26"/>
      <c r="AF1501" s="26"/>
      <c r="AG1501" s="26"/>
      <c r="AH1501" s="26"/>
      <c r="AI1501" s="26"/>
      <c r="AJ1501" s="26"/>
      <c r="AK1501" s="26"/>
      <c r="AL1501" s="26"/>
      <c r="AM1501" s="26"/>
      <c r="AN1501" s="26"/>
      <c r="AO1501" s="26"/>
      <c r="AP1501" s="26"/>
      <c r="AQ1501" s="26"/>
      <c r="AR1501" s="26"/>
      <c r="AS1501" s="26"/>
      <c r="AT1501" s="26"/>
      <c r="AU1501" s="26"/>
      <c r="AV1501" s="26"/>
      <c r="AW1501" s="26"/>
      <c r="AX1501" s="26"/>
      <c r="AY1501" s="26"/>
    </row>
    <row r="1502" spans="1:51" ht="12.75" customHeight="1" x14ac:dyDescent="0.25">
      <c r="A1502" s="26"/>
      <c r="B1502" s="66"/>
      <c r="C1502" s="67"/>
      <c r="D1502" s="67"/>
      <c r="E1502" s="26"/>
      <c r="F1502" s="26"/>
      <c r="G1502" s="26"/>
      <c r="H1502" s="26"/>
      <c r="I1502" s="26"/>
      <c r="J1502" s="26"/>
      <c r="K1502" s="26"/>
      <c r="L1502" s="26"/>
      <c r="M1502" s="26"/>
      <c r="N1502" s="26"/>
      <c r="O1502" s="26"/>
      <c r="P1502" s="26"/>
      <c r="Q1502" s="26"/>
      <c r="R1502" s="26"/>
      <c r="S1502" s="26"/>
      <c r="T1502" s="26"/>
      <c r="U1502" s="26"/>
      <c r="V1502" s="26"/>
      <c r="W1502" s="26"/>
      <c r="X1502" s="26"/>
      <c r="Y1502" s="26"/>
      <c r="Z1502" s="26"/>
      <c r="AA1502" s="26"/>
      <c r="AB1502" s="26"/>
      <c r="AC1502" s="26"/>
      <c r="AD1502" s="26"/>
      <c r="AE1502" s="26"/>
      <c r="AF1502" s="26"/>
      <c r="AG1502" s="26"/>
      <c r="AH1502" s="26"/>
      <c r="AI1502" s="26"/>
      <c r="AJ1502" s="26"/>
      <c r="AK1502" s="26"/>
      <c r="AL1502" s="26"/>
      <c r="AM1502" s="26"/>
      <c r="AN1502" s="26"/>
      <c r="AO1502" s="26"/>
      <c r="AP1502" s="26"/>
      <c r="AQ1502" s="26"/>
      <c r="AR1502" s="26"/>
      <c r="AS1502" s="26"/>
      <c r="AT1502" s="26"/>
      <c r="AU1502" s="26"/>
      <c r="AV1502" s="26"/>
      <c r="AW1502" s="26"/>
      <c r="AX1502" s="26"/>
      <c r="AY1502" s="26"/>
    </row>
    <row r="1503" spans="1:51" ht="12.75" customHeight="1" x14ac:dyDescent="0.25">
      <c r="A1503" s="26"/>
      <c r="B1503" s="66"/>
      <c r="C1503" s="67"/>
      <c r="D1503" s="67"/>
      <c r="E1503" s="26"/>
      <c r="F1503" s="26"/>
      <c r="G1503" s="26"/>
      <c r="H1503" s="26"/>
      <c r="I1503" s="26"/>
      <c r="J1503" s="26"/>
      <c r="K1503" s="26"/>
      <c r="L1503" s="26"/>
      <c r="M1503" s="26"/>
      <c r="N1503" s="26"/>
      <c r="O1503" s="26"/>
      <c r="P1503" s="26"/>
      <c r="Q1503" s="26"/>
      <c r="R1503" s="26"/>
      <c r="S1503" s="26"/>
      <c r="T1503" s="26"/>
      <c r="U1503" s="26"/>
      <c r="V1503" s="26"/>
      <c r="W1503" s="26"/>
      <c r="X1503" s="26"/>
      <c r="Y1503" s="26"/>
      <c r="Z1503" s="26"/>
      <c r="AA1503" s="26"/>
      <c r="AB1503" s="26"/>
      <c r="AC1503" s="26"/>
      <c r="AD1503" s="26"/>
      <c r="AE1503" s="26"/>
      <c r="AF1503" s="26"/>
      <c r="AG1503" s="26"/>
      <c r="AH1503" s="26"/>
      <c r="AI1503" s="26"/>
      <c r="AJ1503" s="26"/>
      <c r="AK1503" s="26"/>
      <c r="AL1503" s="26"/>
      <c r="AM1503" s="26"/>
      <c r="AN1503" s="26"/>
      <c r="AO1503" s="26"/>
      <c r="AP1503" s="26"/>
      <c r="AQ1503" s="26"/>
      <c r="AR1503" s="26"/>
      <c r="AS1503" s="26"/>
      <c r="AT1503" s="26"/>
      <c r="AU1503" s="26"/>
      <c r="AV1503" s="26"/>
      <c r="AW1503" s="26"/>
      <c r="AX1503" s="26"/>
      <c r="AY1503" s="26"/>
    </row>
    <row r="1504" spans="1:51" ht="12.75" customHeight="1" x14ac:dyDescent="0.25">
      <c r="A1504" s="26"/>
      <c r="B1504" s="66"/>
      <c r="C1504" s="67"/>
      <c r="D1504" s="67"/>
      <c r="E1504" s="26"/>
      <c r="F1504" s="26"/>
      <c r="G1504" s="26"/>
      <c r="H1504" s="26"/>
      <c r="I1504" s="26"/>
      <c r="J1504" s="26"/>
      <c r="K1504" s="26"/>
      <c r="L1504" s="26"/>
      <c r="M1504" s="26"/>
      <c r="N1504" s="26"/>
      <c r="O1504" s="26"/>
      <c r="P1504" s="26"/>
      <c r="Q1504" s="26"/>
      <c r="R1504" s="26"/>
      <c r="S1504" s="26"/>
      <c r="T1504" s="26"/>
      <c r="U1504" s="26"/>
      <c r="V1504" s="26"/>
      <c r="W1504" s="26"/>
      <c r="X1504" s="26"/>
      <c r="Y1504" s="26"/>
      <c r="Z1504" s="26"/>
      <c r="AA1504" s="26"/>
      <c r="AB1504" s="26"/>
      <c r="AC1504" s="26"/>
      <c r="AD1504" s="26"/>
      <c r="AE1504" s="26"/>
      <c r="AF1504" s="26"/>
      <c r="AG1504" s="26"/>
      <c r="AH1504" s="26"/>
      <c r="AI1504" s="26"/>
      <c r="AJ1504" s="26"/>
      <c r="AK1504" s="26"/>
      <c r="AL1504" s="26"/>
      <c r="AM1504" s="26"/>
      <c r="AN1504" s="26"/>
      <c r="AO1504" s="26"/>
      <c r="AP1504" s="26"/>
      <c r="AQ1504" s="26"/>
      <c r="AR1504" s="26"/>
      <c r="AS1504" s="26"/>
      <c r="AT1504" s="26"/>
      <c r="AU1504" s="26"/>
      <c r="AV1504" s="26"/>
      <c r="AW1504" s="26"/>
      <c r="AX1504" s="26"/>
      <c r="AY1504" s="26"/>
    </row>
    <row r="1505" spans="1:51" ht="12.75" customHeight="1" x14ac:dyDescent="0.25">
      <c r="A1505" s="26"/>
      <c r="B1505" s="66"/>
      <c r="C1505" s="67"/>
      <c r="D1505" s="67"/>
      <c r="E1505" s="26"/>
      <c r="F1505" s="26"/>
      <c r="G1505" s="26"/>
      <c r="H1505" s="26"/>
      <c r="I1505" s="26"/>
      <c r="J1505" s="26"/>
      <c r="K1505" s="26"/>
      <c r="L1505" s="26"/>
      <c r="M1505" s="26"/>
      <c r="N1505" s="26"/>
      <c r="O1505" s="26"/>
      <c r="P1505" s="26"/>
      <c r="Q1505" s="26"/>
      <c r="R1505" s="26"/>
      <c r="S1505" s="26"/>
      <c r="T1505" s="26"/>
      <c r="U1505" s="26"/>
      <c r="V1505" s="26"/>
      <c r="W1505" s="26"/>
      <c r="X1505" s="26"/>
      <c r="Y1505" s="26"/>
      <c r="Z1505" s="26"/>
      <c r="AA1505" s="26"/>
      <c r="AB1505" s="26"/>
      <c r="AC1505" s="26"/>
      <c r="AD1505" s="26"/>
      <c r="AE1505" s="26"/>
      <c r="AF1505" s="26"/>
      <c r="AG1505" s="26"/>
      <c r="AH1505" s="26"/>
      <c r="AI1505" s="26"/>
      <c r="AJ1505" s="26"/>
      <c r="AK1505" s="26"/>
      <c r="AL1505" s="26"/>
      <c r="AM1505" s="26"/>
      <c r="AN1505" s="26"/>
      <c r="AO1505" s="26"/>
      <c r="AP1505" s="26"/>
      <c r="AQ1505" s="26"/>
      <c r="AR1505" s="26"/>
      <c r="AS1505" s="26"/>
      <c r="AT1505" s="26"/>
      <c r="AU1505" s="26"/>
      <c r="AV1505" s="26"/>
      <c r="AW1505" s="26"/>
      <c r="AX1505" s="26"/>
      <c r="AY1505" s="26"/>
    </row>
    <row r="1506" spans="1:51" ht="12.75" customHeight="1" x14ac:dyDescent="0.25">
      <c r="A1506" s="26"/>
      <c r="B1506" s="66"/>
      <c r="C1506" s="67"/>
      <c r="D1506" s="67"/>
      <c r="E1506" s="26"/>
      <c r="F1506" s="26"/>
      <c r="G1506" s="26"/>
      <c r="H1506" s="26"/>
      <c r="I1506" s="26"/>
      <c r="J1506" s="26"/>
      <c r="K1506" s="26"/>
      <c r="L1506" s="26"/>
      <c r="M1506" s="26"/>
      <c r="N1506" s="26"/>
      <c r="O1506" s="26"/>
      <c r="P1506" s="26"/>
      <c r="Q1506" s="26"/>
      <c r="R1506" s="26"/>
      <c r="S1506" s="26"/>
      <c r="T1506" s="26"/>
      <c r="U1506" s="26"/>
      <c r="V1506" s="26"/>
      <c r="W1506" s="26"/>
      <c r="X1506" s="26"/>
      <c r="Y1506" s="26"/>
      <c r="Z1506" s="26"/>
      <c r="AA1506" s="26"/>
      <c r="AB1506" s="26"/>
      <c r="AC1506" s="26"/>
      <c r="AD1506" s="26"/>
      <c r="AE1506" s="26"/>
      <c r="AF1506" s="26"/>
      <c r="AG1506" s="26"/>
      <c r="AH1506" s="26"/>
      <c r="AI1506" s="26"/>
      <c r="AJ1506" s="26"/>
      <c r="AK1506" s="26"/>
      <c r="AL1506" s="26"/>
      <c r="AM1506" s="26"/>
      <c r="AN1506" s="26"/>
      <c r="AO1506" s="26"/>
      <c r="AP1506" s="26"/>
      <c r="AQ1506" s="26"/>
      <c r="AR1506" s="26"/>
      <c r="AS1506" s="26"/>
      <c r="AT1506" s="26"/>
      <c r="AU1506" s="26"/>
      <c r="AV1506" s="26"/>
      <c r="AW1506" s="26"/>
      <c r="AX1506" s="26"/>
      <c r="AY1506" s="26"/>
    </row>
    <row r="1507" spans="1:51" ht="12.75" customHeight="1" x14ac:dyDescent="0.25">
      <c r="A1507" s="26"/>
      <c r="B1507" s="66"/>
      <c r="C1507" s="67"/>
      <c r="D1507" s="67"/>
      <c r="E1507" s="26"/>
      <c r="F1507" s="26"/>
      <c r="G1507" s="26"/>
      <c r="H1507" s="26"/>
      <c r="I1507" s="26"/>
      <c r="J1507" s="26"/>
      <c r="K1507" s="26"/>
      <c r="L1507" s="26"/>
      <c r="M1507" s="26"/>
      <c r="N1507" s="26"/>
      <c r="O1507" s="26"/>
      <c r="P1507" s="26"/>
      <c r="Q1507" s="26"/>
      <c r="R1507" s="26"/>
      <c r="S1507" s="26"/>
      <c r="T1507" s="26"/>
      <c r="U1507" s="26"/>
      <c r="V1507" s="26"/>
      <c r="W1507" s="26"/>
      <c r="X1507" s="26"/>
      <c r="Y1507" s="26"/>
      <c r="Z1507" s="26"/>
      <c r="AA1507" s="26"/>
      <c r="AB1507" s="26"/>
      <c r="AC1507" s="26"/>
      <c r="AD1507" s="26"/>
      <c r="AE1507" s="26"/>
      <c r="AF1507" s="26"/>
      <c r="AG1507" s="26"/>
      <c r="AH1507" s="26"/>
      <c r="AI1507" s="26"/>
      <c r="AJ1507" s="26"/>
      <c r="AK1507" s="26"/>
      <c r="AL1507" s="26"/>
      <c r="AM1507" s="26"/>
      <c r="AN1507" s="26"/>
      <c r="AO1507" s="26"/>
      <c r="AP1507" s="26"/>
      <c r="AQ1507" s="26"/>
      <c r="AR1507" s="26"/>
      <c r="AS1507" s="26"/>
      <c r="AT1507" s="26"/>
      <c r="AU1507" s="26"/>
      <c r="AV1507" s="26"/>
      <c r="AW1507" s="26"/>
      <c r="AX1507" s="26"/>
      <c r="AY1507" s="26"/>
    </row>
    <row r="1508" spans="1:51" ht="12.75" customHeight="1" x14ac:dyDescent="0.25">
      <c r="A1508" s="26"/>
      <c r="B1508" s="66"/>
      <c r="C1508" s="67"/>
      <c r="D1508" s="67"/>
      <c r="E1508" s="26"/>
      <c r="F1508" s="26"/>
      <c r="G1508" s="26"/>
      <c r="H1508" s="26"/>
      <c r="I1508" s="26"/>
      <c r="J1508" s="26"/>
      <c r="K1508" s="26"/>
      <c r="L1508" s="26"/>
      <c r="M1508" s="26"/>
      <c r="N1508" s="26"/>
      <c r="O1508" s="26"/>
      <c r="P1508" s="26"/>
      <c r="Q1508" s="26"/>
      <c r="R1508" s="26"/>
      <c r="S1508" s="26"/>
      <c r="T1508" s="26"/>
      <c r="U1508" s="26"/>
      <c r="V1508" s="26"/>
      <c r="W1508" s="26"/>
      <c r="X1508" s="26"/>
      <c r="Y1508" s="26"/>
      <c r="Z1508" s="26"/>
      <c r="AA1508" s="26"/>
      <c r="AB1508" s="26"/>
      <c r="AC1508" s="26"/>
      <c r="AD1508" s="26"/>
      <c r="AE1508" s="26"/>
      <c r="AF1508" s="26"/>
      <c r="AG1508" s="26"/>
      <c r="AH1508" s="26"/>
      <c r="AI1508" s="26"/>
      <c r="AJ1508" s="26"/>
      <c r="AK1508" s="26"/>
      <c r="AL1508" s="26"/>
      <c r="AM1508" s="26"/>
      <c r="AN1508" s="26"/>
      <c r="AO1508" s="26"/>
      <c r="AP1508" s="26"/>
      <c r="AQ1508" s="26"/>
      <c r="AR1508" s="26"/>
      <c r="AS1508" s="26"/>
      <c r="AT1508" s="26"/>
      <c r="AU1508" s="26"/>
      <c r="AV1508" s="26"/>
      <c r="AW1508" s="26"/>
      <c r="AX1508" s="26"/>
      <c r="AY1508" s="26"/>
    </row>
    <row r="1509" spans="1:51" ht="12.75" customHeight="1" x14ac:dyDescent="0.25">
      <c r="A1509" s="26"/>
      <c r="B1509" s="66"/>
      <c r="C1509" s="67"/>
      <c r="D1509" s="67"/>
      <c r="E1509" s="26"/>
      <c r="F1509" s="26"/>
      <c r="G1509" s="26"/>
      <c r="H1509" s="26"/>
      <c r="I1509" s="26"/>
      <c r="J1509" s="26"/>
      <c r="K1509" s="26"/>
      <c r="L1509" s="26"/>
      <c r="M1509" s="26"/>
      <c r="N1509" s="26"/>
      <c r="O1509" s="26"/>
      <c r="P1509" s="26"/>
      <c r="Q1509" s="26"/>
      <c r="R1509" s="26"/>
      <c r="S1509" s="26"/>
      <c r="T1509" s="26"/>
      <c r="U1509" s="26"/>
      <c r="V1509" s="26"/>
      <c r="W1509" s="26"/>
      <c r="X1509" s="26"/>
      <c r="Y1509" s="26"/>
      <c r="Z1509" s="26"/>
      <c r="AA1509" s="26"/>
      <c r="AB1509" s="26"/>
      <c r="AC1509" s="26"/>
      <c r="AD1509" s="26"/>
      <c r="AE1509" s="26"/>
      <c r="AF1509" s="26"/>
      <c r="AG1509" s="26"/>
      <c r="AH1509" s="26"/>
      <c r="AI1509" s="26"/>
      <c r="AJ1509" s="26"/>
      <c r="AK1509" s="26"/>
      <c r="AL1509" s="26"/>
      <c r="AM1509" s="26"/>
      <c r="AN1509" s="26"/>
      <c r="AO1509" s="26"/>
      <c r="AP1509" s="26"/>
      <c r="AQ1509" s="26"/>
      <c r="AR1509" s="26"/>
      <c r="AS1509" s="26"/>
      <c r="AT1509" s="26"/>
      <c r="AU1509" s="26"/>
      <c r="AV1509" s="26"/>
      <c r="AW1509" s="26"/>
      <c r="AX1509" s="26"/>
      <c r="AY1509" s="26"/>
    </row>
    <row r="1510" spans="1:51" ht="12.75" customHeight="1" x14ac:dyDescent="0.25">
      <c r="A1510" s="26"/>
      <c r="B1510" s="66"/>
      <c r="C1510" s="67"/>
      <c r="D1510" s="67"/>
      <c r="E1510" s="26"/>
      <c r="F1510" s="26"/>
      <c r="G1510" s="26"/>
      <c r="H1510" s="26"/>
      <c r="I1510" s="26"/>
      <c r="J1510" s="26"/>
      <c r="K1510" s="26"/>
      <c r="L1510" s="26"/>
      <c r="M1510" s="26"/>
      <c r="N1510" s="26"/>
      <c r="O1510" s="26"/>
      <c r="P1510" s="26"/>
      <c r="Q1510" s="26"/>
      <c r="R1510" s="26"/>
      <c r="S1510" s="26"/>
      <c r="T1510" s="26"/>
      <c r="U1510" s="26"/>
      <c r="V1510" s="26"/>
      <c r="W1510" s="26"/>
      <c r="X1510" s="26"/>
      <c r="Y1510" s="26"/>
      <c r="Z1510" s="26"/>
      <c r="AA1510" s="26"/>
      <c r="AB1510" s="26"/>
      <c r="AC1510" s="26"/>
      <c r="AD1510" s="26"/>
      <c r="AE1510" s="26"/>
      <c r="AF1510" s="26"/>
      <c r="AG1510" s="26"/>
      <c r="AH1510" s="26"/>
      <c r="AI1510" s="26"/>
      <c r="AJ1510" s="26"/>
      <c r="AK1510" s="26"/>
      <c r="AL1510" s="26"/>
      <c r="AM1510" s="26"/>
      <c r="AN1510" s="26"/>
      <c r="AO1510" s="26"/>
      <c r="AP1510" s="26"/>
      <c r="AQ1510" s="26"/>
      <c r="AR1510" s="26"/>
      <c r="AS1510" s="26"/>
      <c r="AT1510" s="26"/>
      <c r="AU1510" s="26"/>
      <c r="AV1510" s="26"/>
      <c r="AW1510" s="26"/>
      <c r="AX1510" s="26"/>
      <c r="AY1510" s="26"/>
    </row>
    <row r="1511" spans="1:51" ht="12.75" customHeight="1" x14ac:dyDescent="0.25">
      <c r="A1511" s="26"/>
      <c r="B1511" s="66"/>
      <c r="C1511" s="67"/>
      <c r="D1511" s="67"/>
      <c r="E1511" s="26"/>
      <c r="F1511" s="26"/>
      <c r="G1511" s="26"/>
      <c r="H1511" s="26"/>
      <c r="I1511" s="26"/>
      <c r="J1511" s="26"/>
      <c r="K1511" s="26"/>
      <c r="L1511" s="26"/>
      <c r="M1511" s="26"/>
      <c r="N1511" s="26"/>
      <c r="O1511" s="26"/>
      <c r="P1511" s="26"/>
      <c r="Q1511" s="26"/>
      <c r="R1511" s="26"/>
      <c r="S1511" s="26"/>
      <c r="T1511" s="26"/>
      <c r="U1511" s="26"/>
      <c r="V1511" s="26"/>
      <c r="W1511" s="26"/>
      <c r="X1511" s="26"/>
      <c r="Y1511" s="26"/>
      <c r="Z1511" s="26"/>
      <c r="AA1511" s="26"/>
      <c r="AB1511" s="26"/>
      <c r="AC1511" s="26"/>
      <c r="AD1511" s="26"/>
      <c r="AE1511" s="26"/>
      <c r="AF1511" s="26"/>
      <c r="AG1511" s="26"/>
      <c r="AH1511" s="26"/>
      <c r="AI1511" s="26"/>
      <c r="AJ1511" s="26"/>
      <c r="AK1511" s="26"/>
      <c r="AL1511" s="26"/>
      <c r="AM1511" s="26"/>
      <c r="AN1511" s="26"/>
      <c r="AO1511" s="26"/>
      <c r="AP1511" s="26"/>
      <c r="AQ1511" s="26"/>
      <c r="AR1511" s="26"/>
      <c r="AS1511" s="26"/>
      <c r="AT1511" s="26"/>
      <c r="AU1511" s="26"/>
      <c r="AV1511" s="26"/>
      <c r="AW1511" s="26"/>
      <c r="AX1511" s="26"/>
      <c r="AY1511" s="26"/>
    </row>
    <row r="1512" spans="1:51" ht="12.75" customHeight="1" x14ac:dyDescent="0.25">
      <c r="A1512" s="26"/>
      <c r="B1512" s="66"/>
      <c r="C1512" s="67"/>
      <c r="D1512" s="67"/>
      <c r="E1512" s="26"/>
      <c r="F1512" s="26"/>
      <c r="G1512" s="26"/>
      <c r="H1512" s="26"/>
      <c r="I1512" s="26"/>
      <c r="J1512" s="26"/>
      <c r="K1512" s="26"/>
      <c r="L1512" s="26"/>
      <c r="M1512" s="26"/>
      <c r="N1512" s="26"/>
      <c r="O1512" s="26"/>
      <c r="P1512" s="26"/>
      <c r="Q1512" s="26"/>
      <c r="R1512" s="26"/>
      <c r="S1512" s="26"/>
      <c r="T1512" s="26"/>
      <c r="U1512" s="26"/>
      <c r="V1512" s="26"/>
      <c r="W1512" s="26"/>
      <c r="X1512" s="26"/>
      <c r="Y1512" s="26"/>
      <c r="Z1512" s="26"/>
      <c r="AA1512" s="26"/>
      <c r="AB1512" s="26"/>
      <c r="AC1512" s="26"/>
      <c r="AD1512" s="26"/>
      <c r="AE1512" s="26"/>
      <c r="AF1512" s="26"/>
      <c r="AG1512" s="26"/>
      <c r="AH1512" s="26"/>
      <c r="AI1512" s="26"/>
      <c r="AJ1512" s="26"/>
      <c r="AK1512" s="26"/>
      <c r="AL1512" s="26"/>
      <c r="AM1512" s="26"/>
      <c r="AN1512" s="26"/>
      <c r="AO1512" s="26"/>
      <c r="AP1512" s="26"/>
      <c r="AQ1512" s="26"/>
      <c r="AR1512" s="26"/>
      <c r="AS1512" s="26"/>
      <c r="AT1512" s="26"/>
      <c r="AU1512" s="26"/>
      <c r="AV1512" s="26"/>
      <c r="AW1512" s="26"/>
      <c r="AX1512" s="26"/>
      <c r="AY1512" s="26"/>
    </row>
    <row r="1513" spans="1:51" ht="12.75" customHeight="1" x14ac:dyDescent="0.25">
      <c r="A1513" s="26"/>
      <c r="B1513" s="66"/>
      <c r="C1513" s="67"/>
      <c r="D1513" s="67"/>
      <c r="E1513" s="26"/>
      <c r="F1513" s="26"/>
      <c r="G1513" s="26"/>
      <c r="H1513" s="26"/>
      <c r="I1513" s="26"/>
      <c r="J1513" s="26"/>
      <c r="K1513" s="26"/>
      <c r="L1513" s="26"/>
      <c r="M1513" s="26"/>
      <c r="N1513" s="26"/>
      <c r="O1513" s="26"/>
      <c r="P1513" s="26"/>
      <c r="Q1513" s="26"/>
      <c r="R1513" s="26"/>
      <c r="S1513" s="26"/>
      <c r="T1513" s="26"/>
      <c r="U1513" s="26"/>
      <c r="V1513" s="26"/>
      <c r="W1513" s="26"/>
      <c r="X1513" s="26"/>
      <c r="Y1513" s="26"/>
      <c r="Z1513" s="26"/>
      <c r="AA1513" s="26"/>
      <c r="AB1513" s="26"/>
      <c r="AC1513" s="26"/>
      <c r="AD1513" s="26"/>
      <c r="AE1513" s="26"/>
      <c r="AF1513" s="26"/>
      <c r="AG1513" s="26"/>
      <c r="AH1513" s="26"/>
      <c r="AI1513" s="26"/>
      <c r="AJ1513" s="26"/>
      <c r="AK1513" s="26"/>
      <c r="AL1513" s="26"/>
      <c r="AM1513" s="26"/>
      <c r="AN1513" s="26"/>
      <c r="AO1513" s="26"/>
      <c r="AP1513" s="26"/>
      <c r="AQ1513" s="26"/>
      <c r="AR1513" s="26"/>
      <c r="AS1513" s="26"/>
      <c r="AT1513" s="26"/>
      <c r="AU1513" s="26"/>
      <c r="AV1513" s="26"/>
      <c r="AW1513" s="26"/>
      <c r="AX1513" s="26"/>
      <c r="AY1513" s="26"/>
    </row>
    <row r="1514" spans="1:51" ht="12.75" customHeight="1" x14ac:dyDescent="0.25">
      <c r="A1514" s="26"/>
      <c r="B1514" s="66"/>
      <c r="C1514" s="67"/>
      <c r="D1514" s="67"/>
      <c r="E1514" s="26"/>
      <c r="F1514" s="26"/>
      <c r="G1514" s="26"/>
      <c r="H1514" s="26"/>
      <c r="I1514" s="26"/>
      <c r="J1514" s="26"/>
      <c r="K1514" s="26"/>
      <c r="L1514" s="26"/>
      <c r="M1514" s="26"/>
      <c r="N1514" s="26"/>
      <c r="O1514" s="26"/>
      <c r="P1514" s="26"/>
      <c r="Q1514" s="26"/>
      <c r="R1514" s="26"/>
      <c r="S1514" s="26"/>
      <c r="T1514" s="26"/>
      <c r="U1514" s="26"/>
      <c r="V1514" s="26"/>
      <c r="W1514" s="26"/>
      <c r="X1514" s="26"/>
      <c r="Y1514" s="26"/>
      <c r="Z1514" s="26"/>
      <c r="AA1514" s="26"/>
      <c r="AB1514" s="26"/>
      <c r="AC1514" s="26"/>
      <c r="AD1514" s="26"/>
      <c r="AE1514" s="26"/>
      <c r="AF1514" s="26"/>
      <c r="AG1514" s="26"/>
      <c r="AH1514" s="26"/>
      <c r="AI1514" s="26"/>
      <c r="AJ1514" s="26"/>
      <c r="AK1514" s="26"/>
      <c r="AL1514" s="26"/>
      <c r="AM1514" s="26"/>
      <c r="AN1514" s="26"/>
      <c r="AO1514" s="26"/>
      <c r="AP1514" s="26"/>
      <c r="AQ1514" s="26"/>
      <c r="AR1514" s="26"/>
      <c r="AS1514" s="26"/>
      <c r="AT1514" s="26"/>
      <c r="AU1514" s="26"/>
      <c r="AV1514" s="26"/>
      <c r="AW1514" s="26"/>
      <c r="AX1514" s="26"/>
      <c r="AY1514" s="26"/>
    </row>
    <row r="1515" spans="1:51" ht="12.75" customHeight="1" x14ac:dyDescent="0.25">
      <c r="A1515" s="26"/>
      <c r="B1515" s="66"/>
      <c r="C1515" s="67"/>
      <c r="D1515" s="67"/>
      <c r="E1515" s="26"/>
      <c r="F1515" s="26"/>
      <c r="G1515" s="26"/>
      <c r="H1515" s="26"/>
      <c r="I1515" s="26"/>
      <c r="J1515" s="26"/>
      <c r="K1515" s="26"/>
      <c r="L1515" s="26"/>
      <c r="M1515" s="26"/>
      <c r="N1515" s="26"/>
      <c r="O1515" s="26"/>
      <c r="P1515" s="26"/>
      <c r="Q1515" s="26"/>
      <c r="R1515" s="26"/>
      <c r="S1515" s="26"/>
      <c r="T1515" s="26"/>
      <c r="U1515" s="26"/>
      <c r="V1515" s="26"/>
      <c r="W1515" s="26"/>
      <c r="X1515" s="26"/>
      <c r="Y1515" s="26"/>
      <c r="Z1515" s="26"/>
      <c r="AA1515" s="26"/>
      <c r="AB1515" s="26"/>
      <c r="AC1515" s="26"/>
      <c r="AD1515" s="26"/>
      <c r="AE1515" s="26"/>
      <c r="AF1515" s="26"/>
      <c r="AG1515" s="26"/>
      <c r="AH1515" s="26"/>
      <c r="AI1515" s="26"/>
      <c r="AJ1515" s="26"/>
      <c r="AK1515" s="26"/>
      <c r="AL1515" s="26"/>
      <c r="AM1515" s="26"/>
      <c r="AN1515" s="26"/>
      <c r="AO1515" s="26"/>
      <c r="AP1515" s="26"/>
      <c r="AQ1515" s="26"/>
      <c r="AR1515" s="26"/>
      <c r="AS1515" s="26"/>
      <c r="AT1515" s="26"/>
      <c r="AU1515" s="26"/>
      <c r="AV1515" s="26"/>
      <c r="AW1515" s="26"/>
      <c r="AX1515" s="26"/>
      <c r="AY1515" s="26"/>
    </row>
    <row r="1516" spans="1:51" ht="12.75" customHeight="1" x14ac:dyDescent="0.25"/>
  </sheetData>
  <mergeCells count="10">
    <mergeCell ref="B412:B413"/>
    <mergeCell ref="B414:B415"/>
    <mergeCell ref="A565:A571"/>
    <mergeCell ref="A572:A577"/>
    <mergeCell ref="A102:A109"/>
    <mergeCell ref="A110:A116"/>
    <mergeCell ref="B404:B405"/>
    <mergeCell ref="B406:B407"/>
    <mergeCell ref="B408:B409"/>
    <mergeCell ref="B410:B411"/>
  </mergeCells>
  <pageMargins left="0.7" right="0.7" top="0.75" bottom="0.75" header="0.3" footer="0.3"/>
  <pageSetup paperSize="9" scale="51"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74"/>
  <sheetViews>
    <sheetView tabSelected="1" topLeftCell="A37" zoomScale="70" zoomScaleNormal="70" workbookViewId="0">
      <selection activeCell="I55" sqref="I55"/>
    </sheetView>
  </sheetViews>
  <sheetFormatPr defaultColWidth="9.109375" defaultRowHeight="13.2" x14ac:dyDescent="0.25"/>
  <cols>
    <col min="1" max="1" width="49.109375" style="1" customWidth="1"/>
    <col min="2" max="2" width="16.109375" style="1" customWidth="1"/>
    <col min="3" max="3" width="16.6640625" style="1" customWidth="1"/>
    <col min="4" max="4" width="15.6640625" style="1" customWidth="1"/>
    <col min="5" max="5" width="14.88671875" style="1" customWidth="1"/>
    <col min="6" max="6" width="17.5546875" style="1" customWidth="1"/>
    <col min="7" max="8" width="9.109375" style="1"/>
    <col min="9" max="9" width="10.33203125" style="1" bestFit="1" customWidth="1"/>
    <col min="10" max="16384" width="9.109375" style="1"/>
  </cols>
  <sheetData>
    <row r="1" spans="1:24" x14ac:dyDescent="0.25">
      <c r="A1" s="1" t="s">
        <v>248</v>
      </c>
      <c r="M1" s="297"/>
      <c r="N1" s="297"/>
      <c r="S1" s="1" t="s">
        <v>282</v>
      </c>
    </row>
    <row r="2" spans="1:24" x14ac:dyDescent="0.25">
      <c r="B2" s="280">
        <v>1990</v>
      </c>
      <c r="C2" s="280">
        <v>2018</v>
      </c>
      <c r="D2" s="280" t="s">
        <v>241</v>
      </c>
      <c r="E2" s="280" t="s">
        <v>242</v>
      </c>
      <c r="G2" s="317" t="s">
        <v>280</v>
      </c>
      <c r="H2" s="298"/>
      <c r="M2" s="297"/>
      <c r="N2" s="299"/>
      <c r="S2" s="1">
        <v>97910</v>
      </c>
    </row>
    <row r="3" spans="1:24" x14ac:dyDescent="0.25">
      <c r="A3" s="281" t="s">
        <v>249</v>
      </c>
      <c r="B3" s="282">
        <v>104.78635489814222</v>
      </c>
      <c r="C3" s="273">
        <v>79.82969496614551</v>
      </c>
      <c r="D3" s="273">
        <f>C3</f>
        <v>79.82969496614551</v>
      </c>
      <c r="E3" s="273">
        <f>C3</f>
        <v>79.82969496614551</v>
      </c>
      <c r="G3" s="1">
        <v>-6.5844303006399985</v>
      </c>
      <c r="I3" s="300" t="s">
        <v>278</v>
      </c>
      <c r="M3" s="297"/>
      <c r="N3" s="299"/>
      <c r="S3" s="300"/>
    </row>
    <row r="4" spans="1:24" x14ac:dyDescent="0.25">
      <c r="A4" s="281" t="s">
        <v>250</v>
      </c>
      <c r="B4" s="282">
        <v>107.39173062230901</v>
      </c>
      <c r="C4" s="273">
        <v>105.05075526334019</v>
      </c>
      <c r="D4" s="273">
        <f>C4-S9</f>
        <v>104.88876526334019</v>
      </c>
      <c r="E4" s="273">
        <f>C4-S9</f>
        <v>104.88876526334019</v>
      </c>
      <c r="F4" s="300"/>
      <c r="S4" s="1" t="s">
        <v>292</v>
      </c>
    </row>
    <row r="5" spans="1:24" x14ac:dyDescent="0.25">
      <c r="A5" s="281" t="s">
        <v>251</v>
      </c>
      <c r="B5" s="282">
        <v>14.412697225320425</v>
      </c>
      <c r="C5" s="273">
        <v>13.272394849247927</v>
      </c>
      <c r="D5" s="273">
        <f>C5</f>
        <v>13.272394849247927</v>
      </c>
      <c r="E5" s="273">
        <f>C5</f>
        <v>13.272394849247927</v>
      </c>
      <c r="G5" s="300" t="s">
        <v>279</v>
      </c>
      <c r="N5" s="300"/>
    </row>
    <row r="6" spans="1:24" ht="15" thickBot="1" x14ac:dyDescent="0.35">
      <c r="A6" s="281" t="s">
        <v>252</v>
      </c>
      <c r="B6" s="282">
        <v>170.43198637333367</v>
      </c>
      <c r="C6" s="273">
        <v>174.15180274126723</v>
      </c>
      <c r="D6" s="273">
        <f>C6+G3</f>
        <v>167.56737244062722</v>
      </c>
      <c r="E6" s="273">
        <f>D6</f>
        <v>167.56737244062722</v>
      </c>
      <c r="G6" s="1">
        <v>2030</v>
      </c>
      <c r="H6" s="400">
        <f>-2381.66023984966/1000</f>
        <v>-2.3816602398496598</v>
      </c>
      <c r="I6" s="1">
        <v>2050</v>
      </c>
      <c r="J6" s="400">
        <f>-6192.31662360912/1000</f>
        <v>-6.1923166236091198</v>
      </c>
      <c r="N6" s="301"/>
      <c r="S6" s="1">
        <v>1.95</v>
      </c>
      <c r="T6" s="300" t="s">
        <v>293</v>
      </c>
      <c r="V6" s="404" t="s">
        <v>297</v>
      </c>
      <c r="W6" s="404"/>
      <c r="X6" s="404"/>
    </row>
    <row r="7" spans="1:24" ht="13.8" thickTop="1" x14ac:dyDescent="0.25">
      <c r="A7" s="281" t="s">
        <v>243</v>
      </c>
      <c r="B7" s="282">
        <v>26.304454352618855</v>
      </c>
      <c r="C7" s="273">
        <v>19.467183153051408</v>
      </c>
      <c r="D7" s="273">
        <f>C7+H6</f>
        <v>17.08552291320175</v>
      </c>
      <c r="E7" s="273">
        <f>C7+J6</f>
        <v>13.274866529442289</v>
      </c>
      <c r="M7" s="300"/>
      <c r="N7" s="301"/>
      <c r="S7" s="1">
        <v>0.38</v>
      </c>
      <c r="T7" s="1" t="s">
        <v>294</v>
      </c>
    </row>
    <row r="8" spans="1:24" x14ac:dyDescent="0.25">
      <c r="A8" s="325" t="s">
        <v>147</v>
      </c>
      <c r="B8" s="326">
        <f>SUM(B3:B7)</f>
        <v>423.32722347172415</v>
      </c>
      <c r="C8" s="327">
        <f>SUM(C3:C7)</f>
        <v>391.7718309730522</v>
      </c>
      <c r="D8" s="327">
        <f>SUM(D3:D7)</f>
        <v>382.64375043256257</v>
      </c>
      <c r="E8" s="327">
        <f>SUM(E3:E7)</f>
        <v>378.8330940488031</v>
      </c>
      <c r="S8" s="300">
        <f>S6*25+S7*298</f>
        <v>161.99</v>
      </c>
      <c r="T8" s="1" t="s">
        <v>295</v>
      </c>
      <c r="W8" s="301"/>
    </row>
    <row r="9" spans="1:24" x14ac:dyDescent="0.25">
      <c r="A9" s="283" t="s">
        <v>260</v>
      </c>
      <c r="B9" s="284"/>
      <c r="F9" s="302"/>
      <c r="L9" s="300"/>
      <c r="S9" s="1">
        <f>S8/1000</f>
        <v>0.16199000000000002</v>
      </c>
      <c r="T9" s="1" t="s">
        <v>296</v>
      </c>
    </row>
    <row r="10" spans="1:24" x14ac:dyDescent="0.25">
      <c r="A10" s="284"/>
      <c r="B10" s="284"/>
      <c r="F10" s="302"/>
      <c r="L10" s="300"/>
    </row>
    <row r="11" spans="1:24" x14ac:dyDescent="0.25">
      <c r="A11" s="284"/>
      <c r="B11" s="284"/>
      <c r="F11" s="302"/>
    </row>
    <row r="12" spans="1:24" x14ac:dyDescent="0.25">
      <c r="A12" s="284"/>
      <c r="B12" s="284"/>
      <c r="F12" s="302"/>
    </row>
    <row r="13" spans="1:24" x14ac:dyDescent="0.25">
      <c r="A13" s="284"/>
      <c r="B13" s="284"/>
      <c r="F13" s="302"/>
    </row>
    <row r="14" spans="1:24" x14ac:dyDescent="0.25">
      <c r="A14" s="284"/>
      <c r="B14" s="284"/>
      <c r="F14" s="302"/>
    </row>
    <row r="15" spans="1:24" x14ac:dyDescent="0.25">
      <c r="A15" s="284"/>
      <c r="B15" s="284"/>
      <c r="F15" s="302"/>
    </row>
    <row r="16" spans="1:24" x14ac:dyDescent="0.25">
      <c r="A16" s="284"/>
      <c r="B16" s="284"/>
      <c r="F16" s="302"/>
    </row>
    <row r="17" spans="1:6" x14ac:dyDescent="0.25">
      <c r="A17" s="284"/>
      <c r="B17" s="284"/>
      <c r="F17" s="302"/>
    </row>
    <row r="18" spans="1:6" x14ac:dyDescent="0.25">
      <c r="A18" s="284"/>
      <c r="B18" s="284"/>
      <c r="F18" s="302"/>
    </row>
    <row r="19" spans="1:6" x14ac:dyDescent="0.25">
      <c r="A19" s="284"/>
      <c r="B19" s="284"/>
      <c r="F19" s="302"/>
    </row>
    <row r="20" spans="1:6" x14ac:dyDescent="0.25">
      <c r="A20" s="284"/>
      <c r="B20" s="284"/>
      <c r="F20" s="302"/>
    </row>
    <row r="21" spans="1:6" x14ac:dyDescent="0.25">
      <c r="A21" s="284"/>
      <c r="B21" s="284"/>
      <c r="F21" s="302"/>
    </row>
    <row r="22" spans="1:6" x14ac:dyDescent="0.25">
      <c r="A22" s="284"/>
      <c r="B22" s="284"/>
      <c r="F22" s="302"/>
    </row>
    <row r="23" spans="1:6" x14ac:dyDescent="0.25">
      <c r="A23" s="284"/>
      <c r="B23" s="284"/>
      <c r="F23" s="302"/>
    </row>
    <row r="24" spans="1:6" x14ac:dyDescent="0.25">
      <c r="A24" s="284"/>
      <c r="B24" s="284"/>
      <c r="F24" s="302"/>
    </row>
    <row r="25" spans="1:6" x14ac:dyDescent="0.25">
      <c r="A25" s="284"/>
      <c r="B25" s="284"/>
      <c r="F25" s="302"/>
    </row>
    <row r="26" spans="1:6" x14ac:dyDescent="0.25">
      <c r="A26" s="284"/>
      <c r="B26" s="284"/>
      <c r="F26" s="302"/>
    </row>
    <row r="27" spans="1:6" x14ac:dyDescent="0.25">
      <c r="A27" s="284"/>
      <c r="B27" s="284"/>
      <c r="F27" s="302"/>
    </row>
    <row r="28" spans="1:6" x14ac:dyDescent="0.25">
      <c r="A28" s="284"/>
      <c r="B28" s="284"/>
      <c r="F28" s="302"/>
    </row>
    <row r="29" spans="1:6" x14ac:dyDescent="0.25">
      <c r="A29" s="284"/>
      <c r="B29" s="284"/>
      <c r="F29" s="302"/>
    </row>
    <row r="30" spans="1:6" x14ac:dyDescent="0.25">
      <c r="A30" s="284"/>
      <c r="B30" s="284"/>
      <c r="F30" s="302"/>
    </row>
    <row r="31" spans="1:6" x14ac:dyDescent="0.25">
      <c r="A31" s="284"/>
      <c r="B31" s="284"/>
      <c r="F31" s="302"/>
    </row>
    <row r="32" spans="1:6" x14ac:dyDescent="0.25">
      <c r="A32" s="284"/>
      <c r="B32" s="284"/>
      <c r="F32" s="302"/>
    </row>
    <row r="33" spans="1:18" x14ac:dyDescent="0.25">
      <c r="A33" s="284"/>
      <c r="B33" s="284"/>
      <c r="F33" s="302"/>
    </row>
    <row r="34" spans="1:18" x14ac:dyDescent="0.25">
      <c r="A34" s="284"/>
      <c r="B34" s="284"/>
      <c r="F34" s="302"/>
    </row>
    <row r="35" spans="1:18" x14ac:dyDescent="0.25">
      <c r="A35" s="284"/>
      <c r="B35" s="284"/>
      <c r="F35" s="302"/>
    </row>
    <row r="36" spans="1:18" x14ac:dyDescent="0.25">
      <c r="A36" s="284"/>
      <c r="B36" s="284"/>
      <c r="F36" s="302"/>
    </row>
    <row r="37" spans="1:18" x14ac:dyDescent="0.25">
      <c r="A37" s="284"/>
      <c r="B37" s="284"/>
      <c r="F37" s="302"/>
      <c r="R37" s="303"/>
    </row>
    <row r="38" spans="1:18" x14ac:dyDescent="0.25">
      <c r="A38" s="284"/>
      <c r="B38" s="284"/>
      <c r="F38" s="302"/>
    </row>
    <row r="40" spans="1:18" s="6" customFormat="1" ht="15.6" x14ac:dyDescent="0.35">
      <c r="A40" s="304" t="s">
        <v>167</v>
      </c>
      <c r="B40" s="304" t="s">
        <v>165</v>
      </c>
      <c r="C40" s="305" t="s">
        <v>165</v>
      </c>
      <c r="D40" s="305" t="s">
        <v>165</v>
      </c>
      <c r="E40" s="305" t="s">
        <v>165</v>
      </c>
    </row>
    <row r="41" spans="1:18" s="6" customFormat="1" x14ac:dyDescent="0.25">
      <c r="A41" s="306"/>
      <c r="B41" s="307">
        <v>1990</v>
      </c>
      <c r="C41" s="304">
        <v>2018</v>
      </c>
      <c r="D41" s="304" t="s">
        <v>223</v>
      </c>
      <c r="E41" s="304" t="s">
        <v>224</v>
      </c>
    </row>
    <row r="42" spans="1:18" s="6" customFormat="1" x14ac:dyDescent="0.25">
      <c r="A42" s="308" t="s">
        <v>153</v>
      </c>
      <c r="B42" s="309">
        <f>('1990'!$X$17*'1990'!$E$89+(IF(SUM('1990'!$I$33:$I$71)=0,0,'1990'!$X$18-('1990'!$I$16+'1990'!$I$18)/('1990'!$I$16+'1990'!$I$18+'1990'!$I$24+SUM('1990'!$I$33:$I$71))*SUM('1990'!$L$31:$V$31)))*'1990'!$I$89)/1000</f>
        <v>126.533946</v>
      </c>
      <c r="C42" s="309">
        <f>('2018'!$X$17*'2018'!$E$89+(IF(SUM('2018'!$I$33:$I$71)=0,0,'2018'!$X$18-('2018'!$I$16+'2018'!$I$18)/('2018'!$I$16+'2018'!$I$18+'2018'!$I$24+SUM('2018'!$I$33:$I$71))*SUM('2018'!$L$31:$V$31)))*'2018'!$I$89)/1000</f>
        <v>31.159299999999998</v>
      </c>
      <c r="D42" s="309">
        <f>('BAU2030'!$X$17*'BAU2030'!$E$89+(IF(SUM('BAU2030'!$I$33:$I$71)=0,0,'BAU2030'!$X$18-('BAU2030'!$I$16+'BAU2030'!$I$18)/('BAU2030'!$I$16+'BAU2030'!$I$18+'BAU2030'!$I$24+SUM('BAU2030'!$I$33:$I$71))*SUM('BAU2030'!$L$31:$V$31)))*'BAU2030'!$I$89)/1000</f>
        <v>18.755078399999999</v>
      </c>
      <c r="E42" s="309">
        <f>('BAU2050'!$X$17*'BAU2050'!$E$89+(IF(SUM('BAU2050'!$I$33:$I$71)=0,0,'BAU2050'!$X$18-('BAU2050'!$I$16+'BAU2050'!$I$18)/('BAU2050'!$I$16+'BAU2050'!$I$18+'BAU2050'!$I$24+SUM('BAU2050'!$I$33:$I$71))*SUM('BAU2050'!$L$31:$V$31)))*'BAU2050'!$I$89)/1000</f>
        <v>15.64992</v>
      </c>
      <c r="I42" s="310"/>
      <c r="L42" s="19"/>
    </row>
    <row r="43" spans="1:18" s="6" customFormat="1" x14ac:dyDescent="0.25">
      <c r="A43" s="308" t="s">
        <v>154</v>
      </c>
      <c r="B43" s="136">
        <f>(SUM('1990'!$B$33:$B$62)*'1990'!$B$89+SUM('1990'!$C$33:$C$62)*'1990'!$C$89+SUM('1990'!$D$33:$D$62)*'1990'!$D$89+SUM('1990'!$E$33:$E$62)*'1990'!$E$89+SUM('1990'!$F$33:$F$62)*'1990'!$F$89+SUM('1990'!$G$33:$G$62)*'1990'!$G$89+SUM('1990'!$H$33:$H$62)*'1990'!$H$89+(IF(SUM('1990'!$I$33:$I$71)=0,0,SUM('1990'!$I$33:$I$62)-SUM('1990'!$I$33:$I$71)/('1990'!$I$16+'1990'!$I$18+'1990'!$I$24+SUM('1990'!$I$33:$I$71))*SUM('1990'!$L$31:$V$31)))*'1990'!$I$89+SUM('1990'!$W$33:$W$62)*'1990'!$W$89)/1000</f>
        <v>203.65582000000001</v>
      </c>
      <c r="C43" s="136">
        <f>(SUM('2018'!$B$33:$B$62)*'2018'!$B$89+SUM('2018'!$C$33:$C$62)*'2018'!$C$89+SUM('2018'!$D$33:$D$62)*'2018'!$D$89+SUM('2018'!$E$33:$E$62)*'2018'!$E$89+SUM('2018'!$F$33:$F$62)*'2018'!$F$89+SUM('2018'!$G$33:$G$62)*'2018'!$G$89+SUM('2018'!$H$33:$H$62)*'2018'!$H$89+(IF(SUM('2018'!$I$33:$I$71)=0,0,SUM('2018'!$I$33:$I$62)-SUM('2018'!$I$33:$I$71)/('2018'!$I$16+'2018'!$I$18+'2018'!$I$24+SUM('2018'!$I$33:$I$71))*SUM('2018'!$L$31:$V$31)))*'2018'!$I$89+SUM('2018'!$W$33:$W$62)*'2018'!$W$89)/1000</f>
        <v>12.205934999999998</v>
      </c>
      <c r="D43" s="136">
        <f>(SUM('BAU2030'!$B$33:$B$62)*'BAU2030'!$B$89+SUM('BAU2030'!$C$33:$C$62)*'BAU2030'!$C$89+SUM('BAU2030'!$D$33:$D$62)*'BAU2030'!$D$89+SUM('BAU2030'!$E$33:$E$62)*'BAU2030'!$E$89+SUM('BAU2030'!$F$33:$F$62)*'BAU2030'!$F$89+SUM('BAU2030'!$G$33:$G$62)*'BAU2030'!$G$89+SUM('BAU2030'!$H$33:$H$62)*'BAU2030'!$H$89+(IF(SUM('BAU2030'!$I$33:$I$71)=0,0,SUM('BAU2030'!$I$33:$I$62)-SUM('BAU2030'!$I$33:$I$71)/('BAU2030'!$I$16+'BAU2030'!$I$18+'BAU2030'!$I$24+SUM('BAU2030'!$I$33:$I$71))*SUM('BAU2030'!$L$31:$V$31)))*'BAU2030'!$I$89+SUM('BAU2030'!$W$33:$W$62)*'BAU2030'!$W$89)/1000</f>
        <v>5.8416998399999995</v>
      </c>
      <c r="E43" s="136">
        <f>(SUM('BAU2050'!$B$33:$B$62)*'BAU2050'!$B$89+SUM('BAU2050'!$C$33:$C$62)*'BAU2050'!$C$89+SUM('BAU2050'!$D$33:$D$62)*'BAU2050'!$D$89+SUM('BAU2050'!$E$33:$E$62)*'BAU2050'!$E$89+SUM('BAU2050'!$F$33:$F$62)*'BAU2050'!$F$89+SUM('BAU2050'!$G$33:$G$62)*'BAU2050'!$G$89+SUM('BAU2050'!$H$33:$H$62)*'BAU2050'!$H$89+(IF(SUM('BAU2050'!$I$33:$I$71)=0,0,SUM('BAU2050'!$I$33:$I$62)-SUM('BAU2050'!$I$33:$I$71)/('BAU2050'!$I$16+'BAU2050'!$I$18+'BAU2050'!$I$24+SUM('BAU2050'!$I$33:$I$71))*SUM('BAU2050'!$L$31:$V$31)))*'BAU2050'!$I$89+SUM('BAU2050'!$W$33:$W$62)*'BAU2050'!$W$89)/1000</f>
        <v>5.5004481000000007</v>
      </c>
      <c r="I43" s="310"/>
    </row>
    <row r="44" spans="1:18" s="6" customFormat="1" x14ac:dyDescent="0.25">
      <c r="A44" s="308" t="s">
        <v>254</v>
      </c>
      <c r="B44" s="136">
        <f>(SUM('1990'!$B$63:$B$71,'1990'!$B$24:$B$25,'1990'!$B$23,'1990'!$B$16)*'1990'!$B$89+SUM('1990'!$C$63:$C$71,'1990'!$C$24:$C$25,'1990'!$C$23,'1990'!$C$16)*'1990'!$C$89+SUM('1990'!$D$63:$D$71,'1990'!$D$24:$D$25,'1990'!$D$23,'1990'!$D$16)*'1990'!$D$89+SUM('1990'!$E$63:$E$71,'1990'!$E$24:$E$25,'1990'!$E$23,'1990'!$E$16)*'1990'!$E$89+SUM('1990'!$F$63:$F$71,'1990'!$F$24:$F$25,'1990'!$F$23,'1990'!$F$16)*'1990'!$F$89+SUM('1990'!$G$63:$G$71,'1990'!$G$24:$G$25,'1990'!$G$23,'1990'!$G$16)*'1990'!$G$89+SUM('1990'!$G$63:$G$71,'1990'!$G$24:$G$25,'1990'!$G$23,'1990'!$G$16)*'1990'!$G$89+SUM('1990'!$H$63:$H$71,'1990'!$H$24:$H$25,'1990'!$H$23,'1990'!$H$16)*'1990'!$H$89+(SUM('1990'!$I$63:$I$71,'1990'!$I$24:$I$25,'1990'!$I$23,'1990'!$I$16)-IF(SUM('1990'!$I$33:$I$71)=0,0,('1990'!$I$24)/('1990'!$I$16+'1990'!$I$18+'1990'!$I$24+SUM('1990'!$I$33:$I$71)))*SUM('1990'!$L$31:$V$31))*'1990'!$I$89+SUM('1990'!$W$63:$W$71,'1990'!$W$24:$W$25,'1990'!$W$23,'1990'!$W$16)*'1990'!$W$89)/1000</f>
        <v>54.537596999999998</v>
      </c>
      <c r="C44" s="136">
        <f>(SUM('2018'!$B$63:$B$71,'2018'!$B$24:$B$25,'2018'!$B$23,'2018'!$B$16)*'2018'!$B$89+SUM('2018'!$C$63:$C$71,'2018'!$C$24:$C$25,'2018'!$C$23,'2018'!$C$16)*'2018'!$C$89+SUM('2018'!$D$63:$D$71,'2018'!$D$24:$D$25,'2018'!$D$23,'2018'!$D$16)*'2018'!$D$89+SUM('2018'!$E$63:$E$71,'2018'!$E$24:$E$25,'2018'!$E$23,'2018'!$E$16)*'2018'!$E$89+SUM('2018'!$F$63:$F$71,'2018'!$F$24:$F$25,'2018'!$F$23,'2018'!$F$16)*'2018'!$F$89+SUM('2018'!$G$63:$G$71,'2018'!$G$24:$G$25,'2018'!$G$23,'2018'!$G$16)*'2018'!$G$89+SUM('2018'!$G$63:$G$71,'2018'!$G$24:$G$25,'2018'!$G$23,'2018'!$G$16)*'2018'!$G$89+SUM('2018'!$H$63:$H$71,'2018'!$H$24:$H$25,'2018'!$H$23,'2018'!$H$16)*'2018'!$H$89+(SUM('2018'!$I$63:$I$71,'2018'!$I$24:$I$25,'2018'!$I$23,'2018'!$I$16)-IF(SUM('2018'!$I$33:$I$71)=0,0,('2018'!$I$24)/('2018'!$I$16+'2018'!$I$18+'2018'!$I$24+SUM('2018'!$I$33:$I$71)))*SUM('2018'!$L$31:$V$31))*'2018'!$I$89+SUM('2018'!$W$63:$W$71,'2018'!$W$24:$W$25,'2018'!$W$23,'2018'!$W$16)*'2018'!$W$89)/1000</f>
        <v>44.493400000000001</v>
      </c>
      <c r="D44" s="136">
        <f>(SUM('BAU2030'!$B$63:$B$71,'BAU2030'!$B$24:$B$25,'BAU2030'!$B$23,'BAU2030'!$B$16)*'BAU2030'!$B$89+SUM('BAU2030'!$C$63:$C$71,'BAU2030'!$C$24:$C$25,'BAU2030'!$C$23,'BAU2030'!$C$16)*'BAU2030'!$C$89+SUM('BAU2030'!$D$63:$D$71,'BAU2030'!$D$24:$D$25,'BAU2030'!$D$23,'BAU2030'!$D$16)*'BAU2030'!$D$89+SUM('BAU2030'!$E$63:$E$71,'BAU2030'!$E$24:$E$25,'BAU2030'!$E$23,'BAU2030'!$E$16)*'BAU2030'!$E$89+SUM('BAU2030'!$F$63:$F$71,'BAU2030'!$F$24:$F$25,'BAU2030'!$F$23,'BAU2030'!$F$16)*'BAU2030'!$F$89+SUM('BAU2030'!$G$63:$G$71,'BAU2030'!$G$24:$G$25,'BAU2030'!$G$23,'BAU2030'!$G$16)*'BAU2030'!$G$89+SUM('BAU2030'!$G$63:$G$71,'BAU2030'!$G$24:$G$25,'BAU2030'!$G$23,'BAU2030'!$G$16)*'BAU2030'!$G$89+SUM('BAU2030'!$H$63:$H$71,'BAU2030'!$H$24:$H$25,'BAU2030'!$H$23,'BAU2030'!$H$16)*'BAU2030'!$H$89+(SUM('BAU2030'!$I$63:$I$71,'BAU2030'!$I$24:$I$25,'BAU2030'!$I$23,'BAU2030'!$I$16)-IF(SUM('BAU2030'!$I$33:$I$71)=0,0,('BAU2030'!$I$24)/('BAU2030'!$I$16+'BAU2030'!$I$18+'BAU2030'!$I$24+SUM('BAU2030'!$I$33:$I$71)))*SUM('BAU2030'!$L$31:$V$31))*'BAU2030'!$I$89+SUM('BAU2030'!$W$63:$W$71,'BAU2030'!$W$24:$W$25,'BAU2030'!$W$23,'BAU2030'!$W$16)*'BAU2030'!$W$89)/1000</f>
        <v>44.493400000000001</v>
      </c>
      <c r="E44" s="136">
        <f>(SUM('BAU2050'!$B$63:$B$71,'BAU2050'!$B$24:$B$25,'BAU2050'!$B$23,'BAU2050'!$B$16)*'BAU2050'!$B$89+SUM('BAU2050'!$C$63:$C$71,'BAU2050'!$C$24:$C$25,'BAU2050'!$C$23,'BAU2050'!$C$16)*'BAU2050'!$C$89+SUM('BAU2050'!$D$63:$D$71,'BAU2050'!$D$24:$D$25,'BAU2050'!$D$23,'BAU2050'!$D$16)*'BAU2050'!$D$89+SUM('BAU2050'!$E$63:$E$71,'BAU2050'!$E$24:$E$25,'BAU2050'!$E$23,'BAU2050'!$E$16)*'BAU2050'!$E$89+SUM('BAU2050'!$F$63:$F$71,'BAU2050'!$F$24:$F$25,'BAU2050'!$F$23,'BAU2050'!$F$16)*'BAU2050'!$F$89+SUM('BAU2050'!$G$63:$G$71,'BAU2050'!$G$24:$G$25,'BAU2050'!$G$23,'BAU2050'!$G$16)*'BAU2050'!$G$89+SUM('BAU2050'!$G$63:$G$71,'BAU2050'!$G$24:$G$25,'BAU2050'!$G$23,'BAU2050'!$G$16)*'BAU2050'!$G$89+SUM('BAU2050'!$H$63:$H$71,'BAU2050'!$H$24:$H$25,'BAU2050'!$H$23,'BAU2050'!$H$16)*'BAU2050'!$H$89+(SUM('BAU2050'!$I$63:$I$71,'BAU2050'!$I$24:$I$25,'BAU2050'!$I$23,'BAU2050'!$I$16)-IF(SUM('BAU2050'!$I$33:$I$71)=0,0,('BAU2050'!$I$24)/('BAU2050'!$I$16+'BAU2050'!$I$18+'BAU2050'!$I$24+SUM('BAU2050'!$I$33:$I$71)))*SUM('BAU2050'!$L$31:$V$31))*'BAU2050'!$I$89+SUM('BAU2050'!$W$63:$W$71,'BAU2050'!$W$24:$W$25,'BAU2050'!$W$23,'BAU2050'!$W$16)*'BAU2050'!$W$89)/1000</f>
        <v>44.493400000000001</v>
      </c>
      <c r="I44" s="310"/>
    </row>
    <row r="45" spans="1:18" s="6" customFormat="1" x14ac:dyDescent="0.25">
      <c r="A45" s="308" t="s">
        <v>156</v>
      </c>
      <c r="B45" s="136">
        <f>('1990'!$D$80*'1990'!$D$89+'1990'!$F$82*1000+'1990'!$G$82*1000+'1990'!$H$82*1000)/1000</f>
        <v>234.02307000000002</v>
      </c>
      <c r="C45" s="136">
        <f>('2018'!$D$80*'2018'!$D$89+'2018'!$F$82*1000+'2018'!$G$82*1000+'2018'!$H$82*1000)/1000</f>
        <v>264.93598910000003</v>
      </c>
      <c r="D45" s="136">
        <f>('BAU2030'!$D$80*'BAU2030'!$D$89+'BAU2030'!$F$82*1000+'BAU2030'!$G$82*1000+'BAU2030'!$H$82*1000)/1000</f>
        <v>243.40470786900002</v>
      </c>
      <c r="E45" s="136">
        <f>('BAU2050'!$D$80*'BAU2050'!$D$89+'BAU2050'!$F$82*1000+'BAU2050'!$G$82*1000+'BAU2050'!$H$82*1000)/1000</f>
        <v>155.97907681999999</v>
      </c>
      <c r="I45" s="310"/>
    </row>
    <row r="46" spans="1:18" s="6" customFormat="1" x14ac:dyDescent="0.25">
      <c r="A46" s="308" t="s">
        <v>157</v>
      </c>
      <c r="B46" s="136">
        <f>'1990'!$A$82</f>
        <v>220.68337272360841</v>
      </c>
      <c r="C46" s="136">
        <f>'2018'!$A$82</f>
        <v>-16.253355625390768</v>
      </c>
      <c r="D46" s="136">
        <f>'BAU2030'!$A$82</f>
        <v>0</v>
      </c>
      <c r="E46" s="136">
        <f>'BAU2050'!$A$82</f>
        <v>0</v>
      </c>
      <c r="I46" s="310"/>
      <c r="J46" s="311"/>
    </row>
    <row r="47" spans="1:18" s="6" customFormat="1" x14ac:dyDescent="0.25">
      <c r="A47" s="308" t="s">
        <v>253</v>
      </c>
      <c r="B47" s="136">
        <f>B3+B4+B6</f>
        <v>382.61007189378495</v>
      </c>
      <c r="C47" s="338">
        <f t="shared" ref="C47:E47" si="0">C3+C4+C6</f>
        <v>359.03225297075289</v>
      </c>
      <c r="D47" s="338">
        <f t="shared" si="0"/>
        <v>352.28583267011288</v>
      </c>
      <c r="E47" s="338">
        <f t="shared" si="0"/>
        <v>352.28583267011288</v>
      </c>
      <c r="I47" s="310"/>
      <c r="J47" s="311"/>
    </row>
    <row r="48" spans="1:18" s="6" customFormat="1" x14ac:dyDescent="0.25">
      <c r="A48" s="6" t="s">
        <v>251</v>
      </c>
      <c r="B48" s="136">
        <f>B5</f>
        <v>14.412697225320425</v>
      </c>
      <c r="C48" s="136">
        <f>C5</f>
        <v>13.272394849247927</v>
      </c>
      <c r="D48" s="136">
        <f>D5</f>
        <v>13.272394849247927</v>
      </c>
      <c r="E48" s="136">
        <f>E5</f>
        <v>13.272394849247927</v>
      </c>
      <c r="I48" s="310"/>
    </row>
    <row r="49" spans="1:29" s="6" customFormat="1" x14ac:dyDescent="0.25">
      <c r="A49" s="308" t="s">
        <v>243</v>
      </c>
      <c r="B49" s="136">
        <f t="shared" ref="B49:E49" si="1">B7</f>
        <v>26.304454352618855</v>
      </c>
      <c r="C49" s="136">
        <f t="shared" si="1"/>
        <v>19.467183153051408</v>
      </c>
      <c r="D49" s="136">
        <f t="shared" si="1"/>
        <v>17.08552291320175</v>
      </c>
      <c r="E49" s="136">
        <f t="shared" si="1"/>
        <v>13.274866529442289</v>
      </c>
      <c r="I49" s="310"/>
    </row>
    <row r="50" spans="1:29" s="6" customFormat="1" x14ac:dyDescent="0.25">
      <c r="A50" s="322" t="s">
        <v>147</v>
      </c>
      <c r="B50" s="323">
        <f>SUM(B42:B49)</f>
        <v>1262.7610291953326</v>
      </c>
      <c r="C50" s="324">
        <f>SUM(C42:C49)</f>
        <v>728.31309944766144</v>
      </c>
      <c r="D50" s="324">
        <f>SUM(D42:D49)</f>
        <v>695.13863654156262</v>
      </c>
      <c r="E50" s="324">
        <f>SUM(E42:E49)</f>
        <v>600.45593896880303</v>
      </c>
      <c r="I50" s="310"/>
    </row>
    <row r="51" spans="1:29" s="6" customFormat="1" x14ac:dyDescent="0.25">
      <c r="A51" s="304" t="s">
        <v>244</v>
      </c>
      <c r="B51" s="313">
        <f>B50*1000/$S$2</f>
        <v>12.897160955932312</v>
      </c>
      <c r="C51" s="313">
        <f>C50*1000/114140</f>
        <v>6.3808752360930558</v>
      </c>
      <c r="D51" s="313">
        <f>D50*1000/114140</f>
        <v>6.0902281105796616</v>
      </c>
      <c r="E51" s="313">
        <f>E50*1000/114140</f>
        <v>5.2606968544664712</v>
      </c>
      <c r="I51" s="310"/>
    </row>
    <row r="52" spans="1:29" x14ac:dyDescent="0.25">
      <c r="H52" s="6"/>
      <c r="I52" s="310"/>
    </row>
    <row r="53" spans="1:29" x14ac:dyDescent="0.25">
      <c r="C53" s="314"/>
      <c r="D53" s="301"/>
      <c r="H53" s="6"/>
      <c r="I53" s="315"/>
    </row>
    <row r="54" spans="1:29" x14ac:dyDescent="0.25">
      <c r="H54" s="6"/>
      <c r="I54" s="315"/>
    </row>
    <row r="55" spans="1:29" x14ac:dyDescent="0.25">
      <c r="H55" s="6"/>
      <c r="I55" s="315"/>
    </row>
    <row r="56" spans="1:29" ht="15.6" x14ac:dyDescent="0.35">
      <c r="A56" s="304" t="s">
        <v>167</v>
      </c>
      <c r="B56" s="304" t="s">
        <v>165</v>
      </c>
      <c r="C56" s="305" t="s">
        <v>165</v>
      </c>
      <c r="D56" s="305" t="s">
        <v>165</v>
      </c>
      <c r="E56" s="305" t="s">
        <v>165</v>
      </c>
      <c r="I56" s="6"/>
      <c r="J56" s="315"/>
    </row>
    <row r="57" spans="1:29" x14ac:dyDescent="0.25">
      <c r="A57" s="296"/>
      <c r="B57" s="296">
        <v>1990</v>
      </c>
      <c r="C57" s="296">
        <v>2018</v>
      </c>
      <c r="D57" s="163" t="s">
        <v>223</v>
      </c>
      <c r="E57" s="316" t="s">
        <v>224</v>
      </c>
      <c r="I57" s="6"/>
      <c r="J57" s="315"/>
    </row>
    <row r="58" spans="1:29" x14ac:dyDescent="0.25">
      <c r="A58" s="296" t="s">
        <v>249</v>
      </c>
      <c r="B58" s="273">
        <f t="shared" ref="B58:E59" si="2">B3</f>
        <v>104.78635489814222</v>
      </c>
      <c r="C58" s="273">
        <f t="shared" si="2"/>
        <v>79.82969496614551</v>
      </c>
      <c r="D58" s="273">
        <f t="shared" si="2"/>
        <v>79.82969496614551</v>
      </c>
      <c r="E58" s="273">
        <f t="shared" si="2"/>
        <v>79.82969496614551</v>
      </c>
      <c r="I58" s="440" t="s">
        <v>261</v>
      </c>
      <c r="J58" s="440"/>
      <c r="L58" s="1" t="s">
        <v>283</v>
      </c>
      <c r="AC58" s="303"/>
    </row>
    <row r="59" spans="1:29" x14ac:dyDescent="0.25">
      <c r="A59" s="296" t="s">
        <v>250</v>
      </c>
      <c r="B59" s="273">
        <f t="shared" si="2"/>
        <v>107.39173062230901</v>
      </c>
      <c r="C59" s="273">
        <f t="shared" si="2"/>
        <v>105.05075526334019</v>
      </c>
      <c r="D59" s="273">
        <f t="shared" si="2"/>
        <v>104.88876526334019</v>
      </c>
      <c r="E59" s="273">
        <f t="shared" si="2"/>
        <v>104.88876526334019</v>
      </c>
      <c r="I59" s="6" t="s">
        <v>223</v>
      </c>
      <c r="J59" s="310" t="s">
        <v>224</v>
      </c>
      <c r="K59" s="300"/>
      <c r="L59" s="401">
        <v>0.7</v>
      </c>
    </row>
    <row r="60" spans="1:29" x14ac:dyDescent="0.25">
      <c r="A60" s="296" t="s">
        <v>251</v>
      </c>
      <c r="B60" s="273">
        <f>B5</f>
        <v>14.412697225320425</v>
      </c>
      <c r="C60" s="273">
        <f t="shared" ref="C60:E60" si="3">C5</f>
        <v>13.272394849247927</v>
      </c>
      <c r="D60" s="273">
        <f t="shared" si="3"/>
        <v>13.272394849247927</v>
      </c>
      <c r="E60" s="273">
        <f t="shared" si="3"/>
        <v>13.272394849247927</v>
      </c>
      <c r="I60" s="19">
        <f>D65-I65</f>
        <v>316.31032778296282</v>
      </c>
      <c r="J60" s="318">
        <f>E65-0</f>
        <v>600.45593896880314</v>
      </c>
      <c r="K60" s="301"/>
      <c r="L60" s="402">
        <f>I65*1000/S2</f>
        <v>3.8691482867796938</v>
      </c>
    </row>
    <row r="61" spans="1:29" x14ac:dyDescent="0.25">
      <c r="A61" s="296" t="s">
        <v>156</v>
      </c>
      <c r="B61" s="272">
        <f>B45</f>
        <v>234.02307000000002</v>
      </c>
      <c r="C61" s="272">
        <f>C45</f>
        <v>264.93598910000003</v>
      </c>
      <c r="D61" s="272">
        <f>D45</f>
        <v>243.40470786900002</v>
      </c>
      <c r="E61" s="272">
        <f>E45</f>
        <v>155.97907681999999</v>
      </c>
      <c r="I61" s="6"/>
      <c r="J61" s="315"/>
    </row>
    <row r="62" spans="1:29" x14ac:dyDescent="0.25">
      <c r="A62" s="296" t="s">
        <v>258</v>
      </c>
      <c r="B62" s="272">
        <f>B46+B44+B43+B42</f>
        <v>605.41073572360835</v>
      </c>
      <c r="C62" s="272">
        <f>C46+C44+C43+C42</f>
        <v>71.605279374609225</v>
      </c>
      <c r="D62" s="272">
        <f>D46+D44+D43+D42</f>
        <v>69.09017824</v>
      </c>
      <c r="E62" s="272">
        <f>E46+E44+E43+E42</f>
        <v>65.643768100000003</v>
      </c>
      <c r="I62" s="6"/>
      <c r="J62" s="315"/>
    </row>
    <row r="63" spans="1:29" x14ac:dyDescent="0.25">
      <c r="A63" s="296" t="s">
        <v>252</v>
      </c>
      <c r="B63" s="273">
        <f>B6</f>
        <v>170.43198637333367</v>
      </c>
      <c r="C63" s="273">
        <f t="shared" ref="C63:E63" si="4">C6</f>
        <v>174.15180274126723</v>
      </c>
      <c r="D63" s="273">
        <f t="shared" si="4"/>
        <v>167.56737244062722</v>
      </c>
      <c r="E63" s="273">
        <f t="shared" si="4"/>
        <v>167.56737244062722</v>
      </c>
      <c r="I63" s="440" t="s">
        <v>281</v>
      </c>
      <c r="J63" s="440"/>
    </row>
    <row r="64" spans="1:29" x14ac:dyDescent="0.25">
      <c r="A64" s="296" t="s">
        <v>259</v>
      </c>
      <c r="B64" s="273">
        <f>B7</f>
        <v>26.304454352618855</v>
      </c>
      <c r="C64" s="273">
        <f>C7</f>
        <v>19.467183153051408</v>
      </c>
      <c r="D64" s="273">
        <f>D7</f>
        <v>17.08552291320175</v>
      </c>
      <c r="E64" s="273">
        <f>E7</f>
        <v>13.274866529442289</v>
      </c>
      <c r="I64" s="6">
        <v>2030</v>
      </c>
      <c r="J64" s="319">
        <v>2050</v>
      </c>
    </row>
    <row r="65" spans="1:10" x14ac:dyDescent="0.25">
      <c r="A65" s="328" t="s">
        <v>147</v>
      </c>
      <c r="B65" s="324">
        <f>SUM(B58:B64)</f>
        <v>1262.7610291953326</v>
      </c>
      <c r="C65" s="324">
        <f>SUM(C58:C64)</f>
        <v>728.31309944766156</v>
      </c>
      <c r="D65" s="324">
        <f>SUM(D58:D64)</f>
        <v>695.13863654156262</v>
      </c>
      <c r="E65" s="324">
        <f>SUM(E58:E64)</f>
        <v>600.45593896880314</v>
      </c>
      <c r="I65" s="4">
        <f>B65*0.3</f>
        <v>378.8283087585998</v>
      </c>
      <c r="J65" s="319">
        <v>0</v>
      </c>
    </row>
    <row r="66" spans="1:10" x14ac:dyDescent="0.25">
      <c r="A66" s="304" t="s">
        <v>244</v>
      </c>
      <c r="B66" s="313">
        <f>B65*1000/$S$2</f>
        <v>12.897160955932312</v>
      </c>
      <c r="C66" s="313">
        <f t="shared" ref="C66:E66" si="5">C65*1000/$S$2</f>
        <v>7.4385976861164496</v>
      </c>
      <c r="D66" s="313">
        <f t="shared" si="5"/>
        <v>7.0997715916817752</v>
      </c>
      <c r="E66" s="313">
        <f t="shared" si="5"/>
        <v>6.132733520261497</v>
      </c>
      <c r="I66" s="6"/>
      <c r="J66" s="319"/>
    </row>
    <row r="67" spans="1:10" x14ac:dyDescent="0.25">
      <c r="D67" s="301"/>
      <c r="I67" s="320"/>
      <c r="J67" s="321"/>
    </row>
    <row r="68" spans="1:10" x14ac:dyDescent="0.25">
      <c r="D68" s="301"/>
      <c r="H68" s="6"/>
      <c r="I68" s="319"/>
    </row>
    <row r="69" spans="1:10" x14ac:dyDescent="0.25">
      <c r="D69" s="301"/>
      <c r="H69" s="6"/>
      <c r="I69" s="315"/>
    </row>
    <row r="70" spans="1:10" x14ac:dyDescent="0.25">
      <c r="D70" s="301"/>
      <c r="H70" s="6"/>
      <c r="I70" s="315"/>
    </row>
    <row r="71" spans="1:10" x14ac:dyDescent="0.25">
      <c r="D71" s="301"/>
      <c r="H71" s="6"/>
      <c r="I71" s="315"/>
    </row>
    <row r="72" spans="1:10" x14ac:dyDescent="0.25">
      <c r="D72" s="301"/>
      <c r="H72" s="6"/>
      <c r="I72" s="315"/>
    </row>
    <row r="73" spans="1:10" x14ac:dyDescent="0.25">
      <c r="H73" s="6"/>
      <c r="I73" s="315"/>
    </row>
    <row r="74" spans="1:10" x14ac:dyDescent="0.25">
      <c r="I74" s="315"/>
    </row>
  </sheetData>
  <mergeCells count="2">
    <mergeCell ref="I63:J63"/>
    <mergeCell ref="I58:J58"/>
  </mergeCells>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33"/>
  </sheetPr>
  <dimension ref="B5:F32"/>
  <sheetViews>
    <sheetView topLeftCell="A10" workbookViewId="0">
      <selection activeCell="I33" sqref="I33"/>
    </sheetView>
  </sheetViews>
  <sheetFormatPr defaultRowHeight="13.2" x14ac:dyDescent="0.25"/>
  <sheetData>
    <row r="5" spans="2:5" x14ac:dyDescent="0.25">
      <c r="B5" s="406" t="s">
        <v>284</v>
      </c>
      <c r="C5" t="s">
        <v>287</v>
      </c>
      <c r="D5" t="s">
        <v>202</v>
      </c>
    </row>
    <row r="6" spans="2:5" x14ac:dyDescent="0.25">
      <c r="B6" t="s">
        <v>285</v>
      </c>
      <c r="C6">
        <v>4129</v>
      </c>
      <c r="D6">
        <f>C6*0.0036</f>
        <v>14.8644</v>
      </c>
    </row>
    <row r="7" spans="2:5" x14ac:dyDescent="0.25">
      <c r="B7" t="s">
        <v>286</v>
      </c>
      <c r="C7">
        <v>13879</v>
      </c>
      <c r="D7">
        <f>C7*0.0036</f>
        <v>49.964399999999998</v>
      </c>
    </row>
    <row r="9" spans="2:5" x14ac:dyDescent="0.25">
      <c r="D9">
        <f>D6+D7</f>
        <v>64.828800000000001</v>
      </c>
    </row>
    <row r="12" spans="2:5" x14ac:dyDescent="0.25">
      <c r="B12" s="166" t="s">
        <v>303</v>
      </c>
      <c r="D12">
        <f>52-17</f>
        <v>35</v>
      </c>
      <c r="E12">
        <f>D12/3.5</f>
        <v>10</v>
      </c>
    </row>
    <row r="13" spans="2:5" x14ac:dyDescent="0.25">
      <c r="D13" s="166" t="s">
        <v>304</v>
      </c>
    </row>
    <row r="18" spans="2:6" x14ac:dyDescent="0.25">
      <c r="B18" s="406" t="s">
        <v>288</v>
      </c>
      <c r="C18">
        <v>3100</v>
      </c>
      <c r="D18">
        <f>C18*0.0036</f>
        <v>11.16</v>
      </c>
    </row>
    <row r="20" spans="2:6" x14ac:dyDescent="0.25">
      <c r="C20" t="s">
        <v>290</v>
      </c>
      <c r="D20" t="s">
        <v>291</v>
      </c>
      <c r="E20" t="s">
        <v>202</v>
      </c>
    </row>
    <row r="21" spans="2:6" x14ac:dyDescent="0.25">
      <c r="B21" s="406" t="s">
        <v>289</v>
      </c>
      <c r="C21">
        <v>310000</v>
      </c>
      <c r="D21">
        <f>C21*39.8</f>
        <v>12338000</v>
      </c>
      <c r="E21">
        <v>12.337999999999999</v>
      </c>
    </row>
    <row r="23" spans="2:6" x14ac:dyDescent="0.25">
      <c r="B23" s="405" t="s">
        <v>298</v>
      </c>
    </row>
    <row r="24" spans="2:6" x14ac:dyDescent="0.25">
      <c r="B24" s="166" t="s">
        <v>299</v>
      </c>
    </row>
    <row r="26" spans="2:6" x14ac:dyDescent="0.25">
      <c r="C26" s="166" t="s">
        <v>300</v>
      </c>
    </row>
    <row r="28" spans="2:6" x14ac:dyDescent="0.25">
      <c r="C28" s="166" t="s">
        <v>301</v>
      </c>
      <c r="D28" s="166">
        <f>510000000/1000</f>
        <v>510000</v>
      </c>
    </row>
    <row r="29" spans="2:6" x14ac:dyDescent="0.25">
      <c r="C29" s="166" t="s">
        <v>202</v>
      </c>
      <c r="D29">
        <f>D28*0.0036</f>
        <v>1836</v>
      </c>
    </row>
    <row r="30" spans="2:6" x14ac:dyDescent="0.25">
      <c r="F30">
        <f>D29-D32</f>
        <v>1311.4285714285716</v>
      </c>
    </row>
    <row r="32" spans="2:6" x14ac:dyDescent="0.25">
      <c r="C32" s="166" t="s">
        <v>302</v>
      </c>
      <c r="D32">
        <f>D29/3.5</f>
        <v>524.57142857142856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4</vt:i4>
      </vt:variant>
    </vt:vector>
  </HeadingPairs>
  <TitlesOfParts>
    <vt:vector size="11" baseType="lpstr">
      <vt:lpstr>BAU2050</vt:lpstr>
      <vt:lpstr>BAU2030</vt:lpstr>
      <vt:lpstr>2018</vt:lpstr>
      <vt:lpstr>1990</vt:lpstr>
      <vt:lpstr>Grafer</vt:lpstr>
      <vt:lpstr>Landbrug + Sammen fatning</vt:lpstr>
      <vt:lpstr>Ark1</vt:lpstr>
      <vt:lpstr>'2018'!Udskriftsområde</vt:lpstr>
      <vt:lpstr>'BAU2030'!Udskriftsområde</vt:lpstr>
      <vt:lpstr>'BAU2050'!Udskriftsområde</vt:lpstr>
      <vt:lpstr>Grafer!Udskriftsområde</vt:lpstr>
    </vt:vector>
  </TitlesOfParts>
  <Company>PlanEnergi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Mette Korsgaard Harbøll</cp:lastModifiedBy>
  <cp:lastPrinted>2018-07-12T06:57:45Z</cp:lastPrinted>
  <dcterms:created xsi:type="dcterms:W3CDTF">2007-01-15T14:25:48Z</dcterms:created>
  <dcterms:modified xsi:type="dcterms:W3CDTF">2021-03-04T15:22:50Z</dcterms:modified>
</cp:coreProperties>
</file>