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7640"/>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4" l="1"/>
  <c r="C12" i="4"/>
  <c r="W86" i="9" l="1"/>
  <c r="V86" i="9"/>
  <c r="U86" i="9"/>
  <c r="T86" i="9"/>
  <c r="S86" i="9"/>
  <c r="R86" i="9"/>
  <c r="Q86" i="9"/>
  <c r="P86" i="9"/>
  <c r="O86" i="9"/>
  <c r="N86" i="9"/>
  <c r="M86" i="9"/>
  <c r="L86" i="9"/>
  <c r="K86" i="9"/>
  <c r="J86" i="9"/>
  <c r="I86" i="9"/>
  <c r="H86" i="9"/>
  <c r="G86" i="9"/>
  <c r="F86" i="9"/>
  <c r="E86" i="9"/>
  <c r="D86" i="9"/>
  <c r="C86" i="9"/>
  <c r="B86" i="9"/>
  <c r="W84" i="9"/>
  <c r="V84" i="9"/>
  <c r="U84" i="9"/>
  <c r="T84" i="9"/>
  <c r="S84" i="9"/>
  <c r="R84" i="9"/>
  <c r="P84" i="9"/>
  <c r="N84" i="9"/>
  <c r="M84" i="9"/>
  <c r="L84" i="9"/>
  <c r="K84" i="9"/>
  <c r="J84" i="9"/>
  <c r="X83" i="9"/>
  <c r="R82" i="9"/>
  <c r="P82" i="9"/>
  <c r="L82" i="9"/>
  <c r="K82" i="9"/>
  <c r="I82" i="9"/>
  <c r="D82" i="9"/>
  <c r="C82" i="9"/>
  <c r="W81" i="9"/>
  <c r="W82" i="9" s="1"/>
  <c r="U81" i="9"/>
  <c r="U82" i="9" s="1"/>
  <c r="S81" i="9"/>
  <c r="S82" i="9" s="1"/>
  <c r="R81" i="9"/>
  <c r="Q81" i="9"/>
  <c r="Q82" i="9" s="1"/>
  <c r="P81" i="9"/>
  <c r="O81" i="9"/>
  <c r="O84" i="9" s="1"/>
  <c r="M81" i="9"/>
  <c r="M82" i="9" s="1"/>
  <c r="L81" i="9"/>
  <c r="K81" i="9"/>
  <c r="J81" i="9"/>
  <c r="J82" i="9" s="1"/>
  <c r="I81" i="9"/>
  <c r="H81" i="9"/>
  <c r="H82" i="9" s="1"/>
  <c r="G81" i="9"/>
  <c r="G82" i="9" s="1"/>
  <c r="F81" i="9"/>
  <c r="F82" i="9" s="1"/>
  <c r="E81" i="9"/>
  <c r="E82" i="9" s="1"/>
  <c r="D81" i="9"/>
  <c r="C81" i="9"/>
  <c r="B81" i="9"/>
  <c r="B82" i="9" s="1"/>
  <c r="X80" i="9"/>
  <c r="AQ80" i="9" s="1"/>
  <c r="AH80" i="9" s="1"/>
  <c r="AQ79" i="9"/>
  <c r="AH79" i="9" s="1"/>
  <c r="X79" i="9"/>
  <c r="AD78" i="9"/>
  <c r="X78" i="9"/>
  <c r="AQ78" i="9" s="1"/>
  <c r="AH78" i="9" s="1"/>
  <c r="X77" i="9"/>
  <c r="AP77" i="9" s="1"/>
  <c r="AH77" i="9" s="1"/>
  <c r="X76" i="9"/>
  <c r="AQ76" i="9" s="1"/>
  <c r="AH76" i="9" s="1"/>
  <c r="AQ75" i="9"/>
  <c r="AH75" i="9"/>
  <c r="X75" i="9"/>
  <c r="AQ74" i="9"/>
  <c r="AH74" i="9" s="1"/>
  <c r="X74" i="9"/>
  <c r="AQ73" i="9"/>
  <c r="AH73" i="9"/>
  <c r="X73" i="9"/>
  <c r="AQ72" i="9"/>
  <c r="AH72" i="9" s="1"/>
  <c r="X72" i="9"/>
  <c r="AC71" i="9"/>
  <c r="X71" i="9"/>
  <c r="AN70" i="9"/>
  <c r="AH70" i="9"/>
  <c r="X70" i="9"/>
  <c r="AN69" i="9"/>
  <c r="AH69" i="9" s="1"/>
  <c r="AD69" i="9"/>
  <c r="X69" i="9"/>
  <c r="AH68" i="9"/>
  <c r="AF68" i="9"/>
  <c r="AD68" i="9"/>
  <c r="X68" i="9"/>
  <c r="AH67" i="9"/>
  <c r="X67" i="9"/>
  <c r="AF67" i="9" s="1"/>
  <c r="AH66" i="9"/>
  <c r="AF66" i="9"/>
  <c r="AD66" i="9"/>
  <c r="X66" i="9"/>
  <c r="AH65" i="9"/>
  <c r="X65" i="9"/>
  <c r="AF65" i="9" s="1"/>
  <c r="AH64" i="9"/>
  <c r="AF64" i="9"/>
  <c r="AD64" i="9"/>
  <c r="X64" i="9"/>
  <c r="AH63" i="9"/>
  <c r="X63" i="9"/>
  <c r="AF63" i="9" s="1"/>
  <c r="AC62" i="9"/>
  <c r="X62" i="9"/>
  <c r="AH61" i="9"/>
  <c r="X61" i="9"/>
  <c r="AF61" i="9" s="1"/>
  <c r="AH60" i="9"/>
  <c r="X60" i="9"/>
  <c r="AF60" i="9" s="1"/>
  <c r="X59" i="9"/>
  <c r="AF59" i="9" s="1"/>
  <c r="AF58" i="9"/>
  <c r="X58" i="9"/>
  <c r="AF57" i="9"/>
  <c r="AD57" i="9"/>
  <c r="X57" i="9"/>
  <c r="AH56" i="9"/>
  <c r="X56" i="9"/>
  <c r="AF56" i="9" s="1"/>
  <c r="AC55" i="9"/>
  <c r="X55" i="9"/>
  <c r="AH54" i="9"/>
  <c r="AF54" i="9"/>
  <c r="X54" i="9"/>
  <c r="AD54" i="9" s="1"/>
  <c r="AH53" i="9"/>
  <c r="X53" i="9"/>
  <c r="AD53" i="9" s="1"/>
  <c r="V53" i="9"/>
  <c r="V81" i="9" s="1"/>
  <c r="V82" i="9" s="1"/>
  <c r="AC52" i="9"/>
  <c r="X52" i="9"/>
  <c r="AH51" i="9"/>
  <c r="AF51" i="9"/>
  <c r="AD51" i="9"/>
  <c r="X51" i="9"/>
  <c r="AH50" i="9"/>
  <c r="X50" i="9"/>
  <c r="AF50" i="9" s="1"/>
  <c r="AD49" i="9"/>
  <c r="X49" i="9"/>
  <c r="AF49" i="9" s="1"/>
  <c r="AD48" i="9"/>
  <c r="X48" i="9"/>
  <c r="AF48" i="9" s="1"/>
  <c r="N48" i="9"/>
  <c r="AH47" i="9"/>
  <c r="X47" i="9"/>
  <c r="AF47" i="9" s="1"/>
  <c r="AH46" i="9"/>
  <c r="AF46" i="9"/>
  <c r="AD46" i="9"/>
  <c r="X46" i="9"/>
  <c r="AH45" i="9"/>
  <c r="X45" i="9"/>
  <c r="AF45" i="9" s="1"/>
  <c r="AH44" i="9"/>
  <c r="AF44" i="9"/>
  <c r="AD44" i="9"/>
  <c r="X44" i="9"/>
  <c r="AC43" i="9"/>
  <c r="X43" i="9"/>
  <c r="AH42" i="9"/>
  <c r="AF42" i="9"/>
  <c r="AD42" i="9"/>
  <c r="X42" i="9"/>
  <c r="AH41" i="9"/>
  <c r="X41" i="9"/>
  <c r="AF41" i="9" s="1"/>
  <c r="AH40" i="9"/>
  <c r="AF40" i="9"/>
  <c r="AF43" i="9" s="1"/>
  <c r="AG43" i="9" s="1"/>
  <c r="AD40" i="9"/>
  <c r="X40" i="9"/>
  <c r="AC39" i="9"/>
  <c r="X39" i="9"/>
  <c r="AF38" i="9"/>
  <c r="AD38" i="9"/>
  <c r="X38" i="9"/>
  <c r="AF37" i="9"/>
  <c r="AD37" i="9"/>
  <c r="X37" i="9"/>
  <c r="AH36" i="9"/>
  <c r="X36" i="9"/>
  <c r="AF36" i="9" s="1"/>
  <c r="AH35" i="9"/>
  <c r="AF35" i="9"/>
  <c r="X35" i="9"/>
  <c r="AD35" i="9" s="1"/>
  <c r="AH34" i="9"/>
  <c r="X34" i="9"/>
  <c r="AF34" i="9" s="1"/>
  <c r="AH33" i="9"/>
  <c r="AF33" i="9"/>
  <c r="X33" i="9"/>
  <c r="AD33" i="9" s="1"/>
  <c r="T33" i="9"/>
  <c r="T81" i="9" s="1"/>
  <c r="T82" i="9" s="1"/>
  <c r="O33" i="9"/>
  <c r="AH32" i="9"/>
  <c r="X32" i="9"/>
  <c r="AF32" i="9" s="1"/>
  <c r="X31" i="9"/>
  <c r="AH30" i="9"/>
  <c r="X30" i="9"/>
  <c r="AD30" i="9" s="1"/>
  <c r="AH29" i="9"/>
  <c r="AD29" i="9"/>
  <c r="X29" i="9"/>
  <c r="AH28" i="9"/>
  <c r="X28" i="9"/>
  <c r="AD28" i="9" s="1"/>
  <c r="AH27" i="9"/>
  <c r="X27" i="9"/>
  <c r="AD27" i="9" s="1"/>
  <c r="AH26" i="9"/>
  <c r="X26" i="9"/>
  <c r="AD26" i="9" s="1"/>
  <c r="AN25" i="9"/>
  <c r="AH25" i="9"/>
  <c r="X25" i="9"/>
  <c r="X24" i="9"/>
  <c r="AN24" i="9" s="1"/>
  <c r="AH24" i="9" s="1"/>
  <c r="X23" i="9"/>
  <c r="AN23" i="9" s="1"/>
  <c r="AH23" i="9" s="1"/>
  <c r="AI22" i="9"/>
  <c r="AH22" i="9" s="1"/>
  <c r="X22" i="9"/>
  <c r="AI21" i="9"/>
  <c r="AH21" i="9"/>
  <c r="X21" i="9"/>
  <c r="AI20" i="9"/>
  <c r="AH20" i="9" s="1"/>
  <c r="X20" i="9"/>
  <c r="X19" i="9"/>
  <c r="AI19" i="9" s="1"/>
  <c r="AH19" i="9" s="1"/>
  <c r="X18" i="9"/>
  <c r="AI18" i="9" s="1"/>
  <c r="AH18" i="9" s="1"/>
  <c r="AI17" i="9"/>
  <c r="AH17" i="9"/>
  <c r="X17" i="9"/>
  <c r="AN16" i="9"/>
  <c r="AL16" i="9"/>
  <c r="AJ16" i="9"/>
  <c r="X16" i="9"/>
  <c r="AK16" i="9" s="1"/>
  <c r="AH15" i="9"/>
  <c r="AI14" i="9"/>
  <c r="AD14" i="9"/>
  <c r="AH13" i="9"/>
  <c r="AE13" i="9"/>
  <c r="AD13" i="9" s="1"/>
  <c r="X13" i="9"/>
  <c r="AH12" i="9"/>
  <c r="AE12" i="9"/>
  <c r="AD12" i="9"/>
  <c r="X12" i="9"/>
  <c r="AH11" i="9"/>
  <c r="AE11" i="9"/>
  <c r="AD11" i="9" s="1"/>
  <c r="X11" i="9"/>
  <c r="AH10" i="9"/>
  <c r="AE10" i="9"/>
  <c r="AD10" i="9"/>
  <c r="X10" i="9"/>
  <c r="AH9" i="9"/>
  <c r="AE9" i="9"/>
  <c r="AD9" i="9" s="1"/>
  <c r="X9" i="9"/>
  <c r="AH8" i="9"/>
  <c r="AE8" i="9"/>
  <c r="AD8" i="9"/>
  <c r="X8" i="9"/>
  <c r="AO43" i="9" l="1"/>
  <c r="AI43" i="9"/>
  <c r="AN43" i="9"/>
  <c r="AL43" i="9"/>
  <c r="AK43" i="9"/>
  <c r="AM43" i="9"/>
  <c r="AJ43" i="9"/>
  <c r="AF71" i="9"/>
  <c r="AG71" i="9" s="1"/>
  <c r="AF62" i="9"/>
  <c r="AG62" i="9" s="1"/>
  <c r="AF52" i="9"/>
  <c r="AG52" i="9" s="1"/>
  <c r="AF39" i="9"/>
  <c r="AG39" i="9" s="1"/>
  <c r="X84" i="9"/>
  <c r="AM16" i="9"/>
  <c r="AD32" i="9"/>
  <c r="Q84" i="9"/>
  <c r="AP16" i="9"/>
  <c r="AP81" i="9" s="1"/>
  <c r="AD34" i="9"/>
  <c r="AE81" i="9"/>
  <c r="AQ16" i="9"/>
  <c r="AQ81" i="9" s="1"/>
  <c r="AD41" i="9"/>
  <c r="AD45" i="9"/>
  <c r="AD47" i="9"/>
  <c r="AF53" i="9"/>
  <c r="AF55" i="9" s="1"/>
  <c r="AG55" i="9" s="1"/>
  <c r="AD61" i="9"/>
  <c r="AD15" i="9" s="1"/>
  <c r="AD63" i="9"/>
  <c r="AD65" i="9"/>
  <c r="AD67" i="9"/>
  <c r="AH14" i="9"/>
  <c r="AI16" i="9"/>
  <c r="O82" i="9"/>
  <c r="A15" i="9" l="1"/>
  <c r="AD81" i="9"/>
  <c r="AH43" i="9"/>
  <c r="AI71" i="9"/>
  <c r="AO71" i="9"/>
  <c r="AJ71" i="9"/>
  <c r="AN71" i="9"/>
  <c r="AM71" i="9"/>
  <c r="AL71" i="9"/>
  <c r="AK71" i="9"/>
  <c r="AI55" i="9"/>
  <c r="AO55" i="9"/>
  <c r="AM55" i="9"/>
  <c r="AN55" i="9"/>
  <c r="AL55" i="9"/>
  <c r="AK55" i="9"/>
  <c r="AJ55" i="9"/>
  <c r="AN52" i="9"/>
  <c r="AM52" i="9"/>
  <c r="AM81" i="9" s="1"/>
  <c r="AI52" i="9"/>
  <c r="AL52" i="9"/>
  <c r="AK52" i="9"/>
  <c r="AJ52" i="9"/>
  <c r="AO52" i="9"/>
  <c r="AH16" i="9"/>
  <c r="N14" i="9"/>
  <c r="AL62" i="9"/>
  <c r="AK62" i="9"/>
  <c r="AM62" i="9"/>
  <c r="AJ62" i="9"/>
  <c r="AI62" i="9"/>
  <c r="AO62" i="9"/>
  <c r="AN62" i="9"/>
  <c r="AF81" i="9"/>
  <c r="AO39" i="9"/>
  <c r="AO81" i="9" s="1"/>
  <c r="AG81" i="9"/>
  <c r="AN39" i="9"/>
  <c r="AN81" i="9" s="1"/>
  <c r="AM39" i="9"/>
  <c r="AL39" i="9"/>
  <c r="AK39" i="9"/>
  <c r="AI39" i="9"/>
  <c r="AJ39" i="9"/>
  <c r="Z83" i="9" l="1"/>
  <c r="AJ81" i="9"/>
  <c r="AH55" i="9"/>
  <c r="AH71" i="9"/>
  <c r="AH52" i="9"/>
  <c r="N81" i="9"/>
  <c r="X14" i="9"/>
  <c r="X81" i="9" s="1"/>
  <c r="Z84" i="9" s="1"/>
  <c r="AH39" i="9"/>
  <c r="AI81" i="9"/>
  <c r="AK81" i="9"/>
  <c r="AL81" i="9"/>
  <c r="AH62" i="9"/>
  <c r="X15" i="9"/>
  <c r="A81" i="9"/>
  <c r="A82" i="9" s="1"/>
  <c r="X82" i="9" s="1"/>
  <c r="Z82" i="9" s="1"/>
  <c r="AH81" i="9" l="1"/>
  <c r="P10" i="4" l="1"/>
  <c r="P11" i="4"/>
  <c r="P12" i="4"/>
  <c r="P13" i="4"/>
  <c r="P14" i="4"/>
  <c r="P15" i="4"/>
  <c r="P16" i="4"/>
  <c r="P9" i="4"/>
  <c r="O16" i="4" l="1"/>
  <c r="N16" i="4"/>
  <c r="D16" i="4"/>
  <c r="M34" i="5" l="1"/>
  <c r="L34" i="5"/>
  <c r="D13" i="4" l="1"/>
  <c r="I5" i="4" l="1"/>
  <c r="W86" i="6"/>
  <c r="V86" i="6"/>
  <c r="U86" i="6"/>
  <c r="T86" i="6"/>
  <c r="S86" i="6"/>
  <c r="R86" i="6"/>
  <c r="Q86" i="6"/>
  <c r="P86" i="6"/>
  <c r="O86" i="6"/>
  <c r="N86" i="6"/>
  <c r="M86" i="6"/>
  <c r="L86" i="6"/>
  <c r="K86" i="6"/>
  <c r="J86" i="6"/>
  <c r="I86" i="6"/>
  <c r="H86" i="6"/>
  <c r="G86" i="6"/>
  <c r="F86" i="6"/>
  <c r="E86" i="6"/>
  <c r="D86" i="6"/>
  <c r="C86" i="6"/>
  <c r="B86" i="6"/>
  <c r="W84" i="6"/>
  <c r="V84" i="6"/>
  <c r="U84" i="6"/>
  <c r="T84" i="6"/>
  <c r="S84" i="6"/>
  <c r="R84" i="6"/>
  <c r="N84" i="6"/>
  <c r="M84" i="6"/>
  <c r="L84" i="6"/>
  <c r="K84" i="6"/>
  <c r="J84" i="6"/>
  <c r="X83" i="6"/>
  <c r="R82" i="6"/>
  <c r="Q82" i="6"/>
  <c r="L82" i="6"/>
  <c r="K82" i="6"/>
  <c r="G82" i="6"/>
  <c r="D82" i="6"/>
  <c r="C82" i="6"/>
  <c r="AP81" i="6"/>
  <c r="W81" i="6"/>
  <c r="W82" i="6" s="1"/>
  <c r="V81" i="6"/>
  <c r="V82" i="6" s="1"/>
  <c r="U81" i="6"/>
  <c r="U82" i="6" s="1"/>
  <c r="S81" i="6"/>
  <c r="S82" i="6" s="1"/>
  <c r="R81" i="6"/>
  <c r="Q81" i="6"/>
  <c r="Q84" i="6" s="1"/>
  <c r="M81" i="6"/>
  <c r="M82" i="6" s="1"/>
  <c r="L81" i="6"/>
  <c r="K81" i="6"/>
  <c r="J81" i="6"/>
  <c r="J82" i="6" s="1"/>
  <c r="I81" i="6"/>
  <c r="I82" i="6" s="1"/>
  <c r="G81" i="6"/>
  <c r="E81" i="6"/>
  <c r="E82" i="6" s="1"/>
  <c r="D81" i="6"/>
  <c r="C81" i="6"/>
  <c r="B81" i="6"/>
  <c r="B82" i="6" s="1"/>
  <c r="X80" i="6"/>
  <c r="AQ80" i="6" s="1"/>
  <c r="AH80" i="6" s="1"/>
  <c r="AQ79" i="6"/>
  <c r="AH79" i="6" s="1"/>
  <c r="X79" i="6"/>
  <c r="AD78" i="6"/>
  <c r="X78" i="6"/>
  <c r="AQ78" i="6" s="1"/>
  <c r="AH78" i="6" s="1"/>
  <c r="AP77" i="6"/>
  <c r="AH77" i="6"/>
  <c r="X77" i="6"/>
  <c r="X76" i="6"/>
  <c r="AQ76" i="6" s="1"/>
  <c r="AH76" i="6" s="1"/>
  <c r="P76" i="6"/>
  <c r="F76" i="6"/>
  <c r="P75" i="6"/>
  <c r="F75" i="6"/>
  <c r="X75" i="6" s="1"/>
  <c r="AQ75" i="6" s="1"/>
  <c r="AH75" i="6" s="1"/>
  <c r="P74" i="6"/>
  <c r="F74" i="6"/>
  <c r="F81" i="6" s="1"/>
  <c r="F82" i="6" s="1"/>
  <c r="P73" i="6"/>
  <c r="X73" i="6" s="1"/>
  <c r="AQ73" i="6" s="1"/>
  <c r="AH73" i="6" s="1"/>
  <c r="F73" i="6"/>
  <c r="X72" i="6"/>
  <c r="AQ72" i="6" s="1"/>
  <c r="AH72" i="6" s="1"/>
  <c r="P72" i="6"/>
  <c r="P81" i="6" s="1"/>
  <c r="H72" i="6"/>
  <c r="H81" i="6" s="1"/>
  <c r="H82" i="6" s="1"/>
  <c r="AC71" i="6"/>
  <c r="X71" i="6"/>
  <c r="AN70" i="6"/>
  <c r="AH70" i="6"/>
  <c r="AF70" i="6"/>
  <c r="X70" i="6"/>
  <c r="AN69" i="6"/>
  <c r="AH69" i="6"/>
  <c r="AE69" i="6"/>
  <c r="AD69" i="6"/>
  <c r="X69" i="6"/>
  <c r="AH68" i="6"/>
  <c r="X68" i="6"/>
  <c r="AD68" i="6" s="1"/>
  <c r="AH67" i="6"/>
  <c r="AF67" i="6"/>
  <c r="X67" i="6"/>
  <c r="AD67" i="6" s="1"/>
  <c r="AH66" i="6"/>
  <c r="AF66" i="6"/>
  <c r="X66" i="6"/>
  <c r="AD66" i="6" s="1"/>
  <c r="AH65" i="6"/>
  <c r="X65" i="6"/>
  <c r="AF65" i="6" s="1"/>
  <c r="AH64" i="6"/>
  <c r="AF64" i="6"/>
  <c r="X64" i="6"/>
  <c r="AD64" i="6" s="1"/>
  <c r="AH63" i="6"/>
  <c r="X63" i="6"/>
  <c r="AF63" i="6" s="1"/>
  <c r="AC62" i="6"/>
  <c r="X62" i="6"/>
  <c r="AH61" i="6"/>
  <c r="X61" i="6"/>
  <c r="AF61" i="6" s="1"/>
  <c r="AH60" i="6"/>
  <c r="AF60" i="6"/>
  <c r="X60" i="6"/>
  <c r="X59" i="6"/>
  <c r="AF59" i="6" s="1"/>
  <c r="AD58" i="6"/>
  <c r="X58" i="6"/>
  <c r="AF58" i="6" s="1"/>
  <c r="AF62" i="6" s="1"/>
  <c r="AG62" i="6" s="1"/>
  <c r="AF57" i="6"/>
  <c r="N57" i="6" s="1"/>
  <c r="X57" i="6" s="1"/>
  <c r="AD57" i="6"/>
  <c r="AH56" i="6"/>
  <c r="AF56" i="6"/>
  <c r="X56" i="6"/>
  <c r="AC55" i="6"/>
  <c r="X55" i="6"/>
  <c r="AH54" i="6"/>
  <c r="AF54" i="6"/>
  <c r="AD54" i="6"/>
  <c r="X54" i="6"/>
  <c r="AH53" i="6"/>
  <c r="AF53" i="6"/>
  <c r="AF55" i="6" s="1"/>
  <c r="AG55" i="6" s="1"/>
  <c r="AD53" i="6"/>
  <c r="X53" i="6"/>
  <c r="AC52" i="6"/>
  <c r="X52" i="6"/>
  <c r="AH51" i="6"/>
  <c r="AF51" i="6"/>
  <c r="AD51" i="6"/>
  <c r="X51" i="6"/>
  <c r="AH50" i="6"/>
  <c r="X50" i="6"/>
  <c r="AF50" i="6" s="1"/>
  <c r="AF49" i="6"/>
  <c r="AD49" i="6"/>
  <c r="X49" i="6"/>
  <c r="AF48" i="6"/>
  <c r="N48" i="6" s="1"/>
  <c r="X48" i="6" s="1"/>
  <c r="AD48" i="6"/>
  <c r="AH47" i="6"/>
  <c r="X47" i="6"/>
  <c r="AF47" i="6" s="1"/>
  <c r="AH46" i="6"/>
  <c r="X46" i="6"/>
  <c r="AF46" i="6" s="1"/>
  <c r="AH45" i="6"/>
  <c r="X45" i="6"/>
  <c r="AF45" i="6" s="1"/>
  <c r="AH44" i="6"/>
  <c r="X44" i="6"/>
  <c r="AF44" i="6" s="1"/>
  <c r="AC43" i="6"/>
  <c r="X43" i="6"/>
  <c r="AH42" i="6"/>
  <c r="X42" i="6"/>
  <c r="AF42" i="6" s="1"/>
  <c r="AH41" i="6"/>
  <c r="X41" i="6"/>
  <c r="AF41" i="6" s="1"/>
  <c r="AH40" i="6"/>
  <c r="X40" i="6"/>
  <c r="AF40" i="6" s="1"/>
  <c r="AC39" i="6"/>
  <c r="X39" i="6"/>
  <c r="AF38" i="6"/>
  <c r="AD38" i="6"/>
  <c r="X38" i="6"/>
  <c r="AF37" i="6"/>
  <c r="AD37" i="6"/>
  <c r="N37" i="6"/>
  <c r="X37" i="6" s="1"/>
  <c r="AH36" i="6"/>
  <c r="AF36" i="6"/>
  <c r="X36" i="6"/>
  <c r="AH35" i="6"/>
  <c r="AF35" i="6"/>
  <c r="AD35" i="6"/>
  <c r="X35" i="6"/>
  <c r="AH34" i="6"/>
  <c r="AF34" i="6"/>
  <c r="AD34" i="6"/>
  <c r="X34" i="6"/>
  <c r="AH33" i="6"/>
  <c r="T33" i="6"/>
  <c r="T81" i="6" s="1"/>
  <c r="T82" i="6" s="1"/>
  <c r="O33" i="6"/>
  <c r="X33" i="6" s="1"/>
  <c r="AH32" i="6"/>
  <c r="X32" i="6"/>
  <c r="AF32" i="6" s="1"/>
  <c r="X31" i="6"/>
  <c r="I31" i="6"/>
  <c r="AH30" i="6"/>
  <c r="X30" i="6"/>
  <c r="AD30" i="6" s="1"/>
  <c r="AH29" i="6"/>
  <c r="X29" i="6"/>
  <c r="AD29" i="6" s="1"/>
  <c r="AH28" i="6"/>
  <c r="X28" i="6"/>
  <c r="AD28" i="6" s="1"/>
  <c r="AH27" i="6"/>
  <c r="AD27" i="6"/>
  <c r="X27" i="6"/>
  <c r="AH26" i="6"/>
  <c r="X26" i="6"/>
  <c r="AD26" i="6" s="1"/>
  <c r="X25" i="6"/>
  <c r="AN25" i="6" s="1"/>
  <c r="AH25" i="6" s="1"/>
  <c r="AN24" i="6"/>
  <c r="AH24" i="6" s="1"/>
  <c r="X24" i="6"/>
  <c r="AN23" i="6"/>
  <c r="AH23" i="6"/>
  <c r="X23" i="6"/>
  <c r="X22" i="6"/>
  <c r="AI22" i="6" s="1"/>
  <c r="AH22" i="6" s="1"/>
  <c r="X21" i="6"/>
  <c r="AI21" i="6" s="1"/>
  <c r="AH21" i="6" s="1"/>
  <c r="X20" i="6"/>
  <c r="AI20" i="6" s="1"/>
  <c r="AH20" i="6" s="1"/>
  <c r="AI19" i="6"/>
  <c r="AH19" i="6"/>
  <c r="X19" i="6"/>
  <c r="X18" i="6"/>
  <c r="AI18" i="6" s="1"/>
  <c r="AH18" i="6" s="1"/>
  <c r="X17" i="6"/>
  <c r="AI17" i="6" s="1"/>
  <c r="AH17" i="6" s="1"/>
  <c r="AQ16" i="6"/>
  <c r="X16" i="6"/>
  <c r="AN16" i="6" s="1"/>
  <c r="AH15" i="6"/>
  <c r="AI14" i="6"/>
  <c r="AH14" i="6"/>
  <c r="N14" i="6" s="1"/>
  <c r="AD14" i="6"/>
  <c r="AH13" i="6"/>
  <c r="AE13" i="6"/>
  <c r="AD13" i="6"/>
  <c r="X13" i="6"/>
  <c r="AH12" i="6"/>
  <c r="AE12" i="6"/>
  <c r="AD12" i="6"/>
  <c r="X12" i="6"/>
  <c r="AH11" i="6"/>
  <c r="AE11" i="6"/>
  <c r="AD11" i="6"/>
  <c r="X11" i="6"/>
  <c r="AH10" i="6"/>
  <c r="AE10" i="6"/>
  <c r="AD10" i="6"/>
  <c r="X10" i="6"/>
  <c r="AH9" i="6"/>
  <c r="AE9" i="6"/>
  <c r="AD9" i="6"/>
  <c r="X9" i="6"/>
  <c r="AH8" i="6"/>
  <c r="AE8" i="6"/>
  <c r="AE81" i="6" s="1"/>
  <c r="AD8" i="6"/>
  <c r="X8" i="6"/>
  <c r="AL55" i="6" l="1"/>
  <c r="AJ55" i="6"/>
  <c r="AK55" i="6"/>
  <c r="AI55" i="6"/>
  <c r="AM55" i="6"/>
  <c r="AO55" i="6"/>
  <c r="AN55" i="6"/>
  <c r="AQ81" i="6"/>
  <c r="AN62" i="6"/>
  <c r="AM62" i="6"/>
  <c r="AJ62" i="6"/>
  <c r="AL62" i="6"/>
  <c r="AK62" i="6"/>
  <c r="AO62" i="6"/>
  <c r="AI62" i="6"/>
  <c r="AF71" i="6"/>
  <c r="AG71" i="6" s="1"/>
  <c r="X14" i="6"/>
  <c r="N81" i="6"/>
  <c r="AF43" i="6"/>
  <c r="AG43" i="6" s="1"/>
  <c r="AF52" i="6"/>
  <c r="AG52" i="6" s="1"/>
  <c r="P82" i="6"/>
  <c r="P84" i="6"/>
  <c r="AF33" i="6"/>
  <c r="AF39" i="6" s="1"/>
  <c r="AG39" i="6" s="1"/>
  <c r="AD33" i="6"/>
  <c r="AD41" i="6"/>
  <c r="AD45" i="6"/>
  <c r="AD47" i="6"/>
  <c r="X74" i="6"/>
  <c r="AQ74" i="6" s="1"/>
  <c r="AH74" i="6" s="1"/>
  <c r="O81" i="6"/>
  <c r="AD61" i="6"/>
  <c r="AD63" i="6"/>
  <c r="AD65" i="6"/>
  <c r="AI16" i="6"/>
  <c r="AD32" i="6"/>
  <c r="AD15" i="6" s="1"/>
  <c r="AD40" i="6"/>
  <c r="AD42" i="6"/>
  <c r="AD44" i="6"/>
  <c r="AD46" i="6"/>
  <c r="A15" i="6" l="1"/>
  <c r="Z83" i="6"/>
  <c r="AD81" i="6"/>
  <c r="AF81" i="6"/>
  <c r="AH55" i="6"/>
  <c r="AJ71" i="6"/>
  <c r="AI71" i="6"/>
  <c r="AO71" i="6"/>
  <c r="AN71" i="6"/>
  <c r="AK71" i="6"/>
  <c r="AM71" i="6"/>
  <c r="AL71" i="6"/>
  <c r="AJ43" i="6"/>
  <c r="AI43" i="6"/>
  <c r="AO43" i="6"/>
  <c r="AN43" i="6"/>
  <c r="AM43" i="6"/>
  <c r="AL43" i="6"/>
  <c r="AK43" i="6"/>
  <c r="AH16" i="6"/>
  <c r="AK39" i="6"/>
  <c r="AG81" i="6"/>
  <c r="AJ39" i="6"/>
  <c r="AJ81" i="6" s="1"/>
  <c r="AO39" i="6"/>
  <c r="AO81" i="6" s="1"/>
  <c r="AI39" i="6"/>
  <c r="AH39" i="6" s="1"/>
  <c r="AN39" i="6"/>
  <c r="AM39" i="6"/>
  <c r="AL39" i="6"/>
  <c r="O82" i="6"/>
  <c r="O84" i="6"/>
  <c r="X84" i="6"/>
  <c r="AO52" i="6"/>
  <c r="AN52" i="6"/>
  <c r="AM52" i="6"/>
  <c r="AL52" i="6"/>
  <c r="AK52" i="6"/>
  <c r="AJ52" i="6"/>
  <c r="AI52" i="6"/>
  <c r="AH62" i="6"/>
  <c r="AH43" i="6" l="1"/>
  <c r="AH81" i="6" s="1"/>
  <c r="AL81" i="6"/>
  <c r="AI81" i="6"/>
  <c r="AH71" i="6"/>
  <c r="AK81" i="6"/>
  <c r="AH52" i="6"/>
  <c r="AM81" i="6"/>
  <c r="AN81" i="6"/>
  <c r="A81" i="6"/>
  <c r="A82" i="6" s="1"/>
  <c r="X82" i="6" s="1"/>
  <c r="Z82" i="6" s="1"/>
  <c r="X15" i="6"/>
  <c r="X81" i="6" s="1"/>
  <c r="Z84" i="6" s="1"/>
  <c r="F26" i="8" l="1"/>
  <c r="E26" i="8"/>
  <c r="D26" i="8"/>
  <c r="C26" i="8"/>
  <c r="B26" i="8"/>
  <c r="K25" i="8"/>
  <c r="K24" i="8"/>
  <c r="K22" i="8"/>
  <c r="K21" i="8"/>
  <c r="K20" i="8"/>
  <c r="J18" i="8"/>
  <c r="K18" i="8" s="1"/>
  <c r="I18" i="8"/>
  <c r="H18" i="8"/>
  <c r="J17" i="8"/>
  <c r="J26" i="8" s="1"/>
  <c r="I17" i="8"/>
  <c r="H17" i="8"/>
  <c r="K17" i="8" s="1"/>
  <c r="K16" i="8"/>
  <c r="K15" i="8"/>
  <c r="K14" i="8"/>
  <c r="K13" i="8"/>
  <c r="I13" i="8"/>
  <c r="I12" i="8"/>
  <c r="K12" i="8" s="1"/>
  <c r="K26" i="8" s="1"/>
  <c r="H26" i="8" l="1"/>
  <c r="I26" i="8"/>
  <c r="M42" i="7" l="1"/>
  <c r="H42" i="7"/>
  <c r="G42" i="7"/>
  <c r="F42" i="7"/>
  <c r="E42" i="7"/>
  <c r="D42" i="7"/>
  <c r="C42" i="7"/>
  <c r="B42" i="7"/>
  <c r="N41" i="7"/>
  <c r="L40" i="7"/>
  <c r="K40" i="7"/>
  <c r="N40" i="7" s="1"/>
  <c r="N39" i="7"/>
  <c r="L39" i="7"/>
  <c r="K39" i="7"/>
  <c r="L38" i="7"/>
  <c r="K38" i="7"/>
  <c r="J38" i="7"/>
  <c r="N38" i="7" s="1"/>
  <c r="L37" i="7"/>
  <c r="N37" i="7" s="1"/>
  <c r="L36" i="7"/>
  <c r="N36" i="7" s="1"/>
  <c r="N35" i="7"/>
  <c r="N34" i="7"/>
  <c r="N33" i="7"/>
  <c r="N32" i="7"/>
  <c r="N31" i="7"/>
  <c r="N30" i="7"/>
  <c r="J30" i="7"/>
  <c r="N29" i="7"/>
  <c r="J29" i="7"/>
  <c r="K28" i="7"/>
  <c r="J28" i="7"/>
  <c r="N28" i="7" s="1"/>
  <c r="J27" i="7"/>
  <c r="N27" i="7" s="1"/>
  <c r="L26" i="7"/>
  <c r="L42" i="7" s="1"/>
  <c r="K26" i="7"/>
  <c r="K42" i="7" s="1"/>
  <c r="J26" i="7"/>
  <c r="N26" i="7" s="1"/>
  <c r="J25" i="7"/>
  <c r="N25" i="7" s="1"/>
  <c r="J24" i="7"/>
  <c r="N24" i="7" s="1"/>
  <c r="N23" i="7"/>
  <c r="N22" i="7"/>
  <c r="N21" i="7"/>
  <c r="J20" i="7"/>
  <c r="N20" i="7" s="1"/>
  <c r="N19" i="7"/>
  <c r="N18" i="7"/>
  <c r="N17" i="7"/>
  <c r="N16" i="7"/>
  <c r="N15" i="7"/>
  <c r="J15" i="7"/>
  <c r="J42" i="7" s="1"/>
  <c r="N14" i="7"/>
  <c r="N13" i="7"/>
  <c r="N12" i="7"/>
  <c r="N11" i="7"/>
  <c r="N42" i="7" l="1"/>
  <c r="N40" i="5" l="1"/>
  <c r="P39" i="5"/>
  <c r="P38" i="5"/>
  <c r="P37" i="5"/>
  <c r="M35" i="5"/>
  <c r="L35" i="5"/>
  <c r="P35" i="5" s="1"/>
  <c r="P34" i="5"/>
  <c r="H189" i="4" s="1"/>
  <c r="L33" i="5"/>
  <c r="P33" i="5" s="1"/>
  <c r="O33" i="5" s="1"/>
  <c r="P32" i="5"/>
  <c r="M32" i="5"/>
  <c r="L32" i="5"/>
  <c r="L31" i="5"/>
  <c r="P31" i="5" s="1"/>
  <c r="P30" i="5"/>
  <c r="L30" i="5"/>
  <c r="P29" i="5"/>
  <c r="O29" i="5"/>
  <c r="L29" i="5"/>
  <c r="K29" i="5"/>
  <c r="M28" i="5"/>
  <c r="L28" i="5"/>
  <c r="P28" i="5" s="1"/>
  <c r="O28" i="5" s="1"/>
  <c r="K28" i="5"/>
  <c r="K40" i="5" s="1"/>
  <c r="P27" i="5"/>
  <c r="M27" i="5"/>
  <c r="M26" i="5"/>
  <c r="P26" i="5" s="1"/>
  <c r="M25" i="5"/>
  <c r="M40" i="5" s="1"/>
  <c r="P24" i="5"/>
  <c r="P23" i="5"/>
  <c r="O23" i="5"/>
  <c r="P20" i="5"/>
  <c r="O20" i="5" s="1"/>
  <c r="P19" i="5"/>
  <c r="O19" i="5"/>
  <c r="P18" i="5"/>
  <c r="O18" i="5" s="1"/>
  <c r="P17" i="5"/>
  <c r="P13" i="5"/>
  <c r="P12" i="5"/>
  <c r="O12" i="5" s="1"/>
  <c r="P11" i="5"/>
  <c r="O11" i="5"/>
  <c r="P10" i="5"/>
  <c r="P40" i="5" l="1"/>
  <c r="O10" i="5"/>
  <c r="P25" i="5"/>
  <c r="L40" i="5"/>
  <c r="AB24" i="2" l="1"/>
  <c r="AA23" i="2"/>
  <c r="AE23" i="2" s="1"/>
  <c r="AA22" i="2"/>
  <c r="AA24" i="2" s="1"/>
  <c r="AA21" i="2"/>
  <c r="AE21" i="2" s="1"/>
  <c r="AC20" i="2"/>
  <c r="AE20" i="2" s="1"/>
  <c r="P20" i="2"/>
  <c r="P19" i="2"/>
  <c r="AC19" i="2" s="1"/>
  <c r="AE19" i="2" s="1"/>
  <c r="P18" i="2"/>
  <c r="AC18" i="2" s="1"/>
  <c r="AE18" i="2" s="1"/>
  <c r="X17" i="2"/>
  <c r="AC17" i="2" s="1"/>
  <c r="AE17" i="2" s="1"/>
  <c r="AC16" i="2"/>
  <c r="AE16" i="2" s="1"/>
  <c r="X16" i="2"/>
  <c r="X15" i="2"/>
  <c r="AC15" i="2" s="1"/>
  <c r="AE15" i="2" s="1"/>
  <c r="W14" i="2"/>
  <c r="AC14" i="2" s="1"/>
  <c r="AE14" i="2" s="1"/>
  <c r="AE13" i="2"/>
  <c r="AC13" i="2"/>
  <c r="AD11" i="2"/>
  <c r="AD24" i="2" s="1"/>
  <c r="AC10" i="2"/>
  <c r="AC24" i="2" l="1"/>
  <c r="AE22" i="2"/>
  <c r="AE10" i="2"/>
  <c r="AE11" i="2"/>
  <c r="AE24" i="2" l="1"/>
  <c r="Y22" i="3" l="1"/>
  <c r="X22" i="3"/>
  <c r="W22" i="3"/>
  <c r="T22" i="3"/>
  <c r="S22" i="3"/>
  <c r="R22" i="3"/>
  <c r="Q22" i="3"/>
  <c r="P22" i="3"/>
  <c r="O22" i="3"/>
  <c r="N22" i="3"/>
  <c r="M22" i="3"/>
  <c r="L22" i="3"/>
  <c r="K22" i="3"/>
  <c r="J22" i="3"/>
  <c r="I22" i="3"/>
  <c r="H22" i="3"/>
  <c r="G22" i="3"/>
  <c r="F22" i="3"/>
  <c r="E22" i="3"/>
  <c r="D22" i="3"/>
  <c r="AA21" i="3"/>
  <c r="AA20" i="3"/>
  <c r="AA19" i="3"/>
  <c r="AA18" i="3"/>
  <c r="AA17" i="3"/>
  <c r="AA16" i="3"/>
  <c r="AA15" i="3"/>
  <c r="Z15" i="3"/>
  <c r="AA14" i="3"/>
  <c r="Z14" i="3"/>
  <c r="AA13" i="3"/>
  <c r="Z13" i="3"/>
  <c r="AA12" i="3"/>
  <c r="Z12" i="3"/>
  <c r="AA11" i="3"/>
  <c r="Z11" i="3"/>
  <c r="AA10" i="3"/>
  <c r="Z10" i="3"/>
  <c r="AA9" i="3"/>
  <c r="Z9" i="3"/>
  <c r="AA8" i="3"/>
  <c r="AA22" i="3" s="1"/>
  <c r="S8" i="3"/>
  <c r="R8" i="3"/>
  <c r="Q8" i="3"/>
  <c r="P8" i="3"/>
  <c r="O8" i="3"/>
  <c r="N8" i="3"/>
  <c r="M8" i="3"/>
  <c r="L8" i="3"/>
  <c r="K8" i="3"/>
  <c r="J8" i="3"/>
  <c r="I8" i="3"/>
  <c r="H8" i="3"/>
  <c r="G8" i="3"/>
  <c r="F8" i="3"/>
  <c r="E8" i="3"/>
  <c r="D8" i="3"/>
  <c r="Z8" i="3" s="1"/>
  <c r="S10" i="4" l="1"/>
  <c r="C141" i="4" l="1"/>
  <c r="D14" i="4"/>
  <c r="D223" i="4" l="1"/>
  <c r="H188" i="4" l="1"/>
  <c r="C147" i="4" l="1"/>
  <c r="C146" i="4"/>
  <c r="C145" i="4"/>
  <c r="C144" i="4"/>
  <c r="C143" i="4"/>
  <c r="C142" i="4"/>
  <c r="D272" i="4"/>
  <c r="C281" i="4"/>
  <c r="C280" i="4"/>
  <c r="C279" i="4"/>
  <c r="C278" i="4"/>
  <c r="C277" i="4"/>
  <c r="C276" i="4"/>
  <c r="C275" i="4"/>
  <c r="C274" i="4"/>
  <c r="C273" i="4"/>
  <c r="C271" i="4"/>
  <c r="D270" i="4"/>
  <c r="C269" i="4"/>
  <c r="C148" i="4" l="1"/>
  <c r="C218" i="4"/>
  <c r="C121" i="4"/>
  <c r="K369" i="4" l="1"/>
  <c r="C219" i="4" l="1"/>
  <c r="D220" i="4"/>
  <c r="D221" i="4"/>
  <c r="D222" i="4"/>
  <c r="D224" i="4"/>
  <c r="D225" i="4"/>
  <c r="C217" i="4"/>
  <c r="C120" i="4"/>
  <c r="T5" i="4" l="1"/>
  <c r="C256" i="4" l="1"/>
  <c r="C255" i="4"/>
  <c r="C254" i="4"/>
  <c r="C253" i="4"/>
  <c r="C252" i="4"/>
  <c r="C251" i="4"/>
  <c r="C250" i="4"/>
  <c r="C249" i="4"/>
  <c r="C248" i="4"/>
  <c r="C247" i="4"/>
  <c r="C246" i="4"/>
  <c r="C245" i="4"/>
  <c r="C244" i="4"/>
  <c r="C243" i="4"/>
  <c r="C242" i="4"/>
  <c r="C241" i="4"/>
  <c r="K166" i="4"/>
  <c r="K165" i="4"/>
  <c r="J166" i="4"/>
  <c r="J165" i="4"/>
  <c r="I166" i="4"/>
  <c r="I165" i="4"/>
  <c r="C257" i="4" l="1"/>
  <c r="D337" i="4"/>
  <c r="E337" i="4"/>
  <c r="F337" i="4"/>
  <c r="C337" i="4"/>
  <c r="D336" i="4"/>
  <c r="E336" i="4"/>
  <c r="F336" i="4"/>
  <c r="F331" i="4"/>
  <c r="F332" i="4"/>
  <c r="F333" i="4"/>
  <c r="F334" i="4"/>
  <c r="F335" i="4"/>
  <c r="C336" i="4"/>
  <c r="D335" i="4"/>
  <c r="E335" i="4"/>
  <c r="C335" i="4"/>
  <c r="D334" i="4"/>
  <c r="E334" i="4"/>
  <c r="C334" i="4"/>
  <c r="D333" i="4"/>
  <c r="E333" i="4"/>
  <c r="C333" i="4"/>
  <c r="D332" i="4"/>
  <c r="E332" i="4"/>
  <c r="C332" i="4"/>
  <c r="D331" i="4"/>
  <c r="E331" i="4"/>
  <c r="C331" i="4"/>
  <c r="C298" i="4"/>
  <c r="C297" i="4"/>
  <c r="C296" i="4"/>
  <c r="C295" i="4"/>
  <c r="C294" i="4"/>
  <c r="C293" i="4"/>
  <c r="C292" i="4"/>
  <c r="D193" i="4"/>
  <c r="D191" i="4"/>
  <c r="C189" i="4"/>
  <c r="E189" i="4" s="1"/>
  <c r="H166" i="4"/>
  <c r="H165" i="4"/>
  <c r="C119" i="4"/>
  <c r="F338" i="4" l="1"/>
  <c r="D15" i="4" l="1"/>
  <c r="D11" i="4"/>
  <c r="D10" i="4"/>
  <c r="R10" i="4" l="1"/>
  <c r="AG13" i="4"/>
  <c r="AH13" i="4" s="1"/>
  <c r="D12" i="4" l="1"/>
  <c r="C14" i="4" l="1"/>
  <c r="C127" i="4" l="1"/>
  <c r="C125" i="4"/>
  <c r="C124" i="4"/>
  <c r="C129" i="4" l="1"/>
  <c r="C128" i="4"/>
  <c r="C126" i="4"/>
  <c r="C123" i="4"/>
  <c r="C122" i="4"/>
  <c r="C193" i="4" l="1"/>
  <c r="E193" i="4" s="1"/>
  <c r="C192" i="4"/>
  <c r="E192" i="4" s="1"/>
  <c r="C191" i="4"/>
  <c r="E191" i="4" s="1"/>
  <c r="D190" i="4"/>
  <c r="C190" i="4"/>
  <c r="C167" i="4"/>
  <c r="C166" i="4"/>
  <c r="C165" i="4"/>
  <c r="C164" i="4"/>
  <c r="E190" i="4" l="1"/>
  <c r="C11" i="4"/>
  <c r="C15" i="4"/>
  <c r="T6" i="4" l="1"/>
  <c r="I6" i="4"/>
  <c r="T10" i="4" l="1"/>
  <c r="C370" i="4" l="1"/>
  <c r="I367" i="4" s="1"/>
  <c r="C369" i="4"/>
  <c r="H367" i="4" s="1"/>
  <c r="C368" i="4"/>
  <c r="G367" i="4" s="1"/>
  <c r="C372" i="4"/>
  <c r="C371" i="4"/>
  <c r="J368" i="4" s="1"/>
  <c r="C367" i="4"/>
  <c r="C373" i="4" l="1"/>
  <c r="D338" i="4" l="1"/>
  <c r="C338" i="4"/>
  <c r="E338" i="4"/>
  <c r="C299" i="4" l="1"/>
  <c r="C10" i="4" l="1"/>
  <c r="D9" i="4" l="1"/>
  <c r="C9" i="4" s="1"/>
  <c r="H10" i="4" l="1"/>
  <c r="C16" i="4"/>
  <c r="H16" i="4" s="1"/>
  <c r="C130" i="4"/>
  <c r="AH10" i="4" l="1"/>
  <c r="AG10" i="4"/>
  <c r="G10" i="4"/>
  <c r="I10" i="4" s="1"/>
  <c r="H17" i="4"/>
  <c r="H18" i="4" s="1"/>
</calcChain>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Z61" authorId="0" shapeId="0">
      <text>
        <r>
          <rPr>
            <b/>
            <sz val="9"/>
            <color indexed="81"/>
            <rFont val="Tahoma"/>
            <family val="2"/>
          </rPr>
          <t>Elkedel på Studstrupværket og industriel overskudsvarme er indregnet i virkningsgraden.</t>
        </r>
      </text>
    </comment>
    <comment ref="AB61" authorId="0" shapeId="0">
      <text>
        <r>
          <rPr>
            <b/>
            <sz val="9"/>
            <color indexed="81"/>
            <rFont val="Tahoma"/>
            <family val="2"/>
          </rPr>
          <t>Elkedel på Studstrupværket og industriel overskudsvarme er indregnet i virkningsgraden.</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List>
</comments>
</file>

<file path=xl/sharedStrings.xml><?xml version="1.0" encoding="utf-8"?>
<sst xmlns="http://schemas.openxmlformats.org/spreadsheetml/2006/main" count="773" uniqueCount="493">
  <si>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</si>
  <si>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</si>
  <si>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</si>
  <si>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</si>
  <si>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</si>
  <si>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</si>
  <si>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</si>
  <si>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</si>
  <si>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</si>
  <si>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</si>
  <si>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</si>
  <si>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</si>
  <si>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</si>
  <si>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</si>
  <si>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</si>
  <si>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</si>
  <si>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</si>
  <si>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</si>
  <si>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</si>
  <si>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</si>
  <si>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</si>
  <si>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</si>
  <si>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</si>
  <si>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</si>
  <si>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</si>
  <si>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</si>
  <si>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</si>
  <si>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</si>
  <si>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</si>
  <si>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</si>
  <si>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</si>
  <si>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</si>
  <si>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</si>
  <si>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</si>
  <si>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</si>
  <si>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</si>
  <si>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</si>
  <si>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</si>
  <si>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</si>
  <si>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</si>
  <si>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</si>
  <si>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</si>
  <si>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</si>
  <si>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</si>
  <si>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</si>
  <si>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</si>
  <si>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</si>
  <si>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</si>
  <si>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</si>
  <si>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</si>
  <si>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</si>
  <si>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</si>
  <si>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</si>
  <si>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</si>
  <si>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</si>
  <si>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</si>
  <si>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</si>
  <si>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</si>
  <si>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</si>
  <si>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</si>
  <si>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</si>
  <si>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</si>
  <si>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</si>
  <si>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</si>
  <si>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</si>
  <si>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</si>
  <si>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</si>
  <si>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</si>
  <si>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</si>
  <si>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</si>
  <si>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</si>
  <si>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</si>
  <si>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</si>
  <si>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</si>
  <si>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</si>
  <si>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</si>
  <si>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</si>
  <si>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</si>
  <si>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</si>
  <si>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</si>
  <si>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</si>
  <si>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</si>
  <si>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</si>
  <si>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</si>
  <si>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</si>
  <si>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</si>
  <si>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</si>
  <si>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</si>
  <si>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</si>
  <si>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</si>
  <si>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</si>
  <si>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</si>
  <si>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</si>
  <si>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</si>
  <si>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</si>
  <si>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</si>
  <si>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</si>
  <si>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</si>
  <si>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</si>
  <si>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</si>
  <si>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</si>
  <si>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</si>
  <si>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</si>
  <si>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</si>
  <si>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</si>
  <si>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</si>
  <si>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</si>
  <si>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</si>
  <si>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</si>
  <si>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</si>
  <si>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</si>
  <si>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</si>
  <si>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</si>
  <si>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</si>
  <si>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</si>
  <si>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</si>
  <si>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</si>
  <si>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</si>
  <si>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</si>
  <si>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</si>
  <si>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</si>
  <si>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</si>
  <si>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</si>
  <si>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</si>
  <si>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</si>
  <si>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</si>
  <si>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</si>
  <si>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</si>
  <si>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</si>
  <si>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</si>
  <si>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</si>
  <si>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</si>
  <si>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</si>
  <si>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</si>
  <si>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</si>
  <si>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</si>
  <si>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</si>
  <si>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</si>
  <si>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</si>
  <si>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</si>
  <si>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</si>
  <si>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</si>
  <si>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</si>
  <si>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</si>
  <si>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</si>
  <si>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</si>
  <si>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</si>
  <si>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</si>
  <si>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</si>
  <si>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</si>
  <si>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</si>
  <si>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</si>
  <si>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</si>
  <si>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</si>
  <si>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</si>
  <si>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</si>
  <si>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</si>
  <si>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</si>
  <si>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</si>
  <si>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</si>
  <si>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</si>
  <si>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</si>
  <si>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</si>
  <si>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</si>
  <si>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</si>
  <si>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</si>
  <si>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</si>
  <si>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</si>
  <si>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</si>
  <si>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</si>
  <si>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</si>
  <si>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</si>
  <si>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</si>
  <si>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</si>
  <si>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</si>
  <si>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</si>
  <si>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</si>
  <si>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</si>
  <si>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</si>
  <si>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</si>
  <si>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</si>
  <si>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</si>
  <si>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</si>
  <si>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</si>
  <si>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</si>
  <si>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</si>
  <si>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</si>
  <si>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</si>
  <si>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</si>
  <si>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</si>
  <si>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</si>
  <si>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</si>
  <si>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</si>
  <si>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</si>
  <si>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</si>
  <si>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</si>
  <si>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</si>
  <si>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</si>
  <si>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</si>
  <si>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</si>
  <si>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</si>
  <si>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</si>
  <si>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</si>
  <si>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</si>
  <si>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</si>
  <si>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</si>
  <si>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</si>
  <si>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</si>
  <si>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</si>
  <si>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</si>
  <si>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</si>
  <si>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</si>
  <si>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</si>
  <si>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</si>
  <si>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</si>
  <si>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</si>
  <si>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</si>
  <si>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</si>
  <si>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</si>
  <si>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</si>
  <si>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</si>
  <si>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</si>
  <si>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</si>
  <si>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</si>
  <si>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</si>
  <si>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</si>
  <si>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</si>
  <si>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</si>
  <si>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</si>
  <si>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</si>
  <si>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</si>
  <si>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</si>
  <si>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</si>
  <si>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</si>
  <si>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</si>
  <si>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</si>
  <si>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</si>
  <si>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</si>
  <si>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</si>
  <si>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</si>
  <si>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</si>
  <si>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</si>
  <si>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</si>
  <si>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</si>
  <si>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</si>
  <si>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</si>
  <si>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</si>
  <si>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</si>
  <si>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</si>
  <si>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</si>
  <si>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</si>
  <si>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</si>
  <si>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</si>
  <si>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</si>
  <si>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</si>
  <si>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</si>
  <si>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</si>
  <si>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</si>
  <si>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</si>
  <si>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</si>
  <si>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</si>
  <si>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</si>
  <si>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</si>
  <si>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</si>
  <si>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</si>
  <si>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</si>
  <si>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</si>
  <si>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</si>
  <si>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</si>
  <si>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</si>
  <si>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</si>
  <si>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</si>
  <si>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</si>
  <si>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</si>
  <si>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</si>
  <si>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</si>
  <si>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</si>
  <si>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</si>
  <si>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</si>
  <si>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</si>
  <si>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</si>
  <si>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</si>
  <si>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</si>
  <si>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</si>
  <si>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</si>
  <si>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</si>
  <si>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</si>
  <si>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</si>
  <si>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</si>
  <si>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</si>
  <si>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</si>
  <si>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</si>
  <si>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</si>
  <si>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</si>
  <si>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</si>
  <si>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</si>
  <si>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</si>
  <si>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</si>
  <si>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</si>
  <si>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</si>
  <si>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</si>
  <si>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</si>
  <si>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</si>
  <si>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</si>
  <si>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</si>
  <si>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</si>
  <si>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</si>
  <si>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</si>
  <si>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</si>
  <si>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</si>
  <si>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</si>
  <si>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</si>
  <si>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</si>
  <si>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</si>
  <si>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</si>
  <si>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</si>
  <si>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</si>
  <si>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</si>
  <si>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</si>
  <si>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</si>
  <si>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</si>
  <si>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</si>
  <si>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</si>
  <si>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</si>
  <si>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</si>
  <si>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</si>
  <si>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</si>
  <si>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</si>
  <si>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</si>
  <si>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</si>
  <si>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</si>
  <si>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</si>
  <si>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</si>
  <si>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</si>
  <si>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</si>
  <si>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</si>
  <si>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</si>
  <si>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</si>
  <si>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</si>
  <si>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</si>
  <si>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</si>
  <si>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</si>
  <si>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</si>
  <si>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</si>
  <si>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</si>
  <si>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</si>
  <si>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</si>
  <si>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</si>
  <si>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</si>
  <si>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</si>
  <si>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</si>
  <si>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</si>
  <si>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</si>
  <si>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</si>
  <si>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</si>
  <si>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</si>
  <si>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</si>
  <si>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</si>
  <si>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</si>
  <si>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</si>
  <si>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</si>
  <si>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</si>
  <si>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</si>
  <si>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</si>
  <si>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</si>
  <si>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</si>
  <si>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</si>
  <si>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</si>
  <si>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</si>
  <si>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</si>
  <si>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</si>
  <si>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</si>
  <si>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</si>
  <si>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</si>
  <si>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</si>
  <si>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</si>
  <si>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</si>
  <si>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</si>
  <si>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</si>
  <si>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</si>
  <si>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</si>
  <si>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</si>
  <si>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</si>
  <si>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</si>
  <si>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</si>
  <si>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</si>
  <si>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</si>
  <si>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</si>
  <si>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</si>
  <si>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</si>
  <si>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</si>
  <si>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</si>
  <si>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</si>
  <si>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</si>
  <si>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</si>
  <si>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</si>
  <si>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</si>
  <si>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</si>
  <si>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</si>
  <si>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</si>
  <si>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</si>
  <si>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</si>
  <si>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</si>
  <si>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</si>
  <si>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</si>
  <si>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</si>
  <si>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</si>
  <si>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</si>
  <si>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</si>
  <si>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</si>
  <si>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</si>
  <si>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</si>
  <si>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</si>
  <si>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</si>
  <si>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</si>
  <si>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</si>
  <si>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</si>
  <si>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</si>
  <si>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</si>
  <si>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</si>
  <si>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</si>
  <si>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</si>
  <si>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</si>
  <si>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</si>
  <si>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</si>
  <si>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</si>
  <si>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</si>
  <si>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</si>
  <si>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</si>
  <si>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</si>
  <si>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</si>
  <si>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</si>
  <si>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</si>
  <si>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</si>
  <si>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</si>
  <si>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</si>
  <si>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</si>
  <si>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</si>
  <si>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</si>
  <si>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</si>
  <si>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</si>
  <si>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</si>
  <si>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</si>
  <si>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</si>
  <si>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</si>
  <si>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</si>
  <si>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</si>
  <si>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</si>
  <si>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</si>
  <si>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</si>
  <si>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</si>
  <si>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</si>
  <si>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</si>
  <si>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</si>
  <si>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</si>
  <si>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</si>
  <si>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</si>
  <si>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</si>
  <si>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</si>
  <si>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</si>
  <si>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</si>
  <si>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</si>
  <si>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</si>
  <si>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</si>
  <si>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</si>
  <si>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</si>
  <si>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</si>
  <si>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</si>
  <si>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</si>
  <si>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</si>
  <si>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</si>
  <si>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</si>
  <si>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</si>
  <si>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</si>
  <si>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</si>
  <si>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</si>
  <si>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</si>
  <si>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</si>
  <si>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</si>
  <si>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</si>
  <si>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</si>
  <si>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</si>
  <si>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Randers Kommune</t>
  </si>
  <si>
    <t xml:space="preserve">Randers kommune </t>
  </si>
  <si>
    <t>Randers kommune</t>
  </si>
  <si>
    <t>Anden råstofindvending</t>
  </si>
  <si>
    <t>Randers Kommune 2018</t>
  </si>
  <si>
    <t>Fjernvarmeværker, solvarme</t>
  </si>
  <si>
    <t>Import fjernvarme</t>
  </si>
  <si>
    <r>
      <t>Emission fra vådområde (periodisk oversvømmet)  og naturpleje/vild brand, 2018  (Ton CO</t>
    </r>
    <r>
      <rPr>
        <b/>
        <vertAlign val="subscript"/>
        <sz val="11"/>
        <color theme="1"/>
        <rFont val="Arial"/>
        <family val="2"/>
      </rPr>
      <t>2</t>
    </r>
    <r>
      <rPr>
        <b/>
        <sz val="11"/>
        <color theme="1"/>
        <rFont val="Arial"/>
        <family val="2"/>
      </rPr>
      <t>-e)</t>
    </r>
  </si>
  <si>
    <t>Randers Kommune 1990</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</si>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</sst>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4">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3" fontId="2" fillId="0" borderId="6" xfId="0" applyNumberFormat="1" applyFont="1" applyBorder="1"/>
    <xf numFmtId="3" fontId="2" fillId="3" borderId="32" xfId="0" applyNumberFormat="1" applyFont="1" applyFill="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1" fontId="2" fillId="3" borderId="5" xfId="0" applyNumberFormat="1" applyFont="1" applyFill="1" applyBorder="1"/>
    <xf numFmtId="1" fontId="2" fillId="0" borderId="5" xfId="0" applyNumberFormat="1" applyFont="1" applyBorder="1"/>
    <xf numFmtId="1" fontId="2" fillId="0" borderId="0" xfId="0" applyNumberFormat="1" applyFont="1"/>
    <xf numFmtId="3" fontId="2" fillId="3" borderId="5" xfId="0" applyNumberFormat="1" applyFont="1" applyFill="1" applyBorder="1"/>
    <xf numFmtId="1" fontId="2" fillId="3" borderId="0" xfId="0" applyNumberFormat="1" applyFont="1" applyFill="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3" fontId="2" fillId="3" borderId="75" xfId="0" applyNumberFormat="1" applyFont="1" applyFill="1" applyBorder="1"/>
    <xf numFmtId="3" fontId="2" fillId="3" borderId="49" xfId="0" applyNumberFormat="1" applyFont="1" applyFill="1" applyBorder="1"/>
    <xf numFmtId="0" fontId="2" fillId="0" borderId="0" xfId="0" applyFont="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167" fontId="2" fillId="3" borderId="74" xfId="0" applyNumberFormat="1" applyFont="1" applyFill="1" applyBorder="1"/>
    <xf numFmtId="0" fontId="17" fillId="7" borderId="1" xfId="0" applyFont="1" applyFill="1" applyBorder="1" applyAlignment="1">
      <alignment horizontal="left" vertical="center" wrapText="1"/>
    </xf>
    <xf numFmtId="0" fontId="17" fillId="7" borderId="21" xfId="0" applyFont="1" applyFill="1" applyBorder="1" applyAlignment="1">
      <alignment horizontal="left" vertical="center" wrapText="1"/>
    </xf>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3" fontId="0" fillId="3" borderId="5"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43" fillId="3" borderId="65" xfId="2" applyNumberFormat="1" applyFont="1" applyFill="1" applyBorder="1" applyAlignment="1">
      <alignment horizontal="center"/>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da-DK"/>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104760.7594997644</c:v>
                </c:pt>
                <c:pt idx="1">
                  <c:v>79810.195549002659</c:v>
                </c:pt>
              </c:numCache>
            </c:numRef>
          </c:val>
          <c:extLst xmlns:c16r2="http://schemas.microsoft.com/office/drawing/2015/06/char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107391.73062230901</c:v>
                </c:pt>
                <c:pt idx="1">
                  <c:v>105050.75526334019</c:v>
                </c:pt>
              </c:numCache>
            </c:numRef>
          </c:val>
          <c:extLst xmlns:c16r2="http://schemas.microsoft.com/office/drawing/2015/06/char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14412.697225320426</c:v>
                </c:pt>
                <c:pt idx="1">
                  <c:v>13272.394849247927</c:v>
                </c:pt>
              </c:numCache>
            </c:numRef>
          </c:val>
          <c:extLst xmlns:c16r2="http://schemas.microsoft.com/office/drawing/2015/06/char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229090.91999999998</c:v>
                </c:pt>
                <c:pt idx="1">
                  <c:v>264928.10509999999</c:v>
                </c:pt>
              </c:numCache>
            </c:numRef>
          </c:val>
          <c:extLst xmlns:c16r2="http://schemas.microsoft.com/office/drawing/2015/06/char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610342.88572360831</c:v>
                </c:pt>
                <c:pt idx="1">
                  <c:v>70730.128374609223</c:v>
                </c:pt>
              </c:numCache>
            </c:numRef>
          </c:val>
          <c:extLst xmlns:c16r2="http://schemas.microsoft.com/office/drawing/2015/06/char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170431.98637333367</c:v>
                </c:pt>
                <c:pt idx="1">
                  <c:v>174151.80274126722</c:v>
                </c:pt>
              </c:numCache>
            </c:numRef>
          </c:val>
          <c:extLst xmlns:c16r2="http://schemas.microsoft.com/office/drawing/2015/06/char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26304.454352618854</c:v>
                </c:pt>
                <c:pt idx="1">
                  <c:v>19467.18315305141</c:v>
                </c:pt>
              </c:numCache>
            </c:numRef>
          </c:val>
          <c:extLst xmlns:c16r2="http://schemas.microsoft.com/office/drawing/2015/06/char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339661384"/>
        <c:axId val="339662168"/>
      </c:barChart>
      <c:catAx>
        <c:axId val="33966138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a-DK"/>
          </a:p>
        </c:txPr>
        <c:crossAx val="339662168"/>
        <c:crosses val="autoZero"/>
        <c:auto val="1"/>
        <c:lblAlgn val="ctr"/>
        <c:lblOffset val="100"/>
        <c:noMultiLvlLbl val="0"/>
      </c:catAx>
      <c:valAx>
        <c:axId val="339662168"/>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33966138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da-DK"/>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xmlns:c16r2="http://schemas.microsoft.com/office/drawing/2015/06/char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xmlns:c16r2="http://schemas.microsoft.com/office/drawing/2015/06/char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xmlns:c16r2="http://schemas.microsoft.com/office/drawing/2015/06/char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xmlns:c16r2="http://schemas.microsoft.com/office/drawing/2015/06/char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xmlns:c16r2="http://schemas.microsoft.com/office/drawing/2015/06/char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xmlns:c16r2="http://schemas.microsoft.com/office/drawing/2015/06/char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xmlns:c16r2="http://schemas.microsoft.com/office/drawing/2015/06/char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xmlns:c16r2="http://schemas.microsoft.com/office/drawing/2015/06/char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xmlns:c16r2="http://schemas.microsoft.com/office/drawing/2015/06/char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xmlns:c16r2="http://schemas.microsoft.com/office/drawing/2015/06/char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xmlns:c16r2="http://schemas.microsoft.com/office/drawing/2015/06/char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da-DK"/>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56940.427393257414</c:v>
                </c:pt>
                <c:pt idx="1">
                  <c:v>48110.32787008278</c:v>
                </c:pt>
                <c:pt idx="2">
                  <c:v>10046.587432728156</c:v>
                </c:pt>
                <c:pt idx="3">
                  <c:v>2998.9625914285716</c:v>
                </c:pt>
                <c:pt idx="4">
                  <c:v>7494.1401857142864</c:v>
                </c:pt>
                <c:pt idx="5">
                  <c:v>19.499417142857141</c:v>
                </c:pt>
                <c:pt idx="6">
                  <c:v>16074.053482142857</c:v>
                </c:pt>
                <c:pt idx="7">
                  <c:v>24399.413688571425</c:v>
                </c:pt>
                <c:pt idx="8">
                  <c:v>15569.329285714288</c:v>
                </c:pt>
                <c:pt idx="9">
                  <c:v>1483.7362149731812</c:v>
                </c:pt>
                <c:pt idx="10">
                  <c:v>4424.2574648727514</c:v>
                </c:pt>
              </c:numCache>
            </c:numRef>
          </c:val>
          <c:extLst xmlns:c16r2="http://schemas.microsoft.com/office/drawing/2015/06/char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da-DK"/>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xmlns:c16r2="http://schemas.microsoft.com/office/drawing/2015/06/char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xmlns:c16r2="http://schemas.microsoft.com/office/drawing/2015/06/char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xmlns:c16r2="http://schemas.microsoft.com/office/drawing/2015/06/char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xmlns:c16r2="http://schemas.microsoft.com/office/drawing/2015/06/char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xmlns:c16r2="http://schemas.microsoft.com/office/drawing/2015/06/char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xmlns:c16r2="http://schemas.microsoft.com/office/drawing/2015/06/char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xmlns:c16r2="http://schemas.microsoft.com/office/drawing/2015/06/char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da-DK"/>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310.51015558864384</c:v>
                </c:pt>
                <c:pt idx="1">
                  <c:v>20.000165345766415</c:v>
                </c:pt>
                <c:pt idx="2" formatCode="0">
                  <c:v>2.0236254987284741</c:v>
                </c:pt>
                <c:pt idx="3">
                  <c:v>2688.1636631006982</c:v>
                </c:pt>
                <c:pt idx="4">
                  <c:v>0</c:v>
                </c:pt>
                <c:pt idx="5">
                  <c:v>9864.3311290101738</c:v>
                </c:pt>
                <c:pt idx="6">
                  <c:v>387.3661107039166</c:v>
                </c:pt>
              </c:numCache>
            </c:numRef>
          </c:val>
          <c:extLst xmlns:c16r2="http://schemas.microsoft.com/office/drawing/2015/06/char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da-DK"/>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310.51015558864384</c:v>
                </c:pt>
                <c:pt idx="1">
                  <c:v>20.000165345766415</c:v>
                </c:pt>
                <c:pt idx="2">
                  <c:v>2.0236254987284741</c:v>
                </c:pt>
                <c:pt idx="3">
                  <c:v>2677.1053632475973</c:v>
                </c:pt>
                <c:pt idx="4">
                  <c:v>0</c:v>
                </c:pt>
                <c:pt idx="5">
                  <c:v>0</c:v>
                </c:pt>
                <c:pt idx="6">
                  <c:v>4.2023956190261318</c:v>
                </c:pt>
              </c:numCache>
            </c:numRef>
          </c:val>
          <c:extLst xmlns:c16r2="http://schemas.microsoft.com/office/drawing/2015/06/char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0.34449471985173996</c:v>
                </c:pt>
                <c:pt idx="4">
                  <c:v>0</c:v>
                </c:pt>
                <c:pt idx="5">
                  <c:v>0</c:v>
                </c:pt>
                <c:pt idx="6">
                  <c:v>1.2174596434215208</c:v>
                </c:pt>
              </c:numCache>
            </c:numRef>
          </c:val>
          <c:extLst xmlns:c16r2="http://schemas.microsoft.com/office/drawing/2015/06/char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8.2078250228426897E-3</c:v>
                </c:pt>
                <c:pt idx="4">
                  <c:v>0</c:v>
                </c:pt>
                <c:pt idx="5">
                  <c:v>0</c:v>
                </c:pt>
                <c:pt idx="6">
                  <c:v>1.1836484026823906</c:v>
                </c:pt>
              </c:numCache>
            </c:numRef>
          </c:val>
          <c:extLst xmlns:c16r2="http://schemas.microsoft.com/office/drawing/2015/06/char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9864.3311290101738</c:v>
                </c:pt>
                <c:pt idx="6">
                  <c:v>0</c:v>
                </c:pt>
              </c:numCache>
            </c:numRef>
          </c:val>
          <c:extLst xmlns:c16r2="http://schemas.microsoft.com/office/drawing/2015/06/char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338690752"/>
        <c:axId val="409717496"/>
      </c:barChart>
      <c:catAx>
        <c:axId val="338690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a-DK"/>
          </a:p>
        </c:txPr>
        <c:crossAx val="409717496"/>
        <c:crosses val="autoZero"/>
        <c:auto val="1"/>
        <c:lblAlgn val="ctr"/>
        <c:lblOffset val="100"/>
        <c:noMultiLvlLbl val="0"/>
      </c:catAx>
      <c:valAx>
        <c:axId val="4097174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338690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da-DK"/>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xmlns:c16r2="http://schemas.microsoft.com/office/drawing/2015/06/char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xmlns:c16r2="http://schemas.microsoft.com/office/drawing/2015/06/char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xmlns:c16r2="http://schemas.microsoft.com/office/drawing/2015/06/char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B5FE-43A2-A969-EDF74A411BDE}"/>
                </c:ext>
                <c:ext xmlns:c15="http://schemas.microsoft.com/office/drawing/2012/chart" uri="{CE6537A1-D6FC-4f65-9D91-7224C49458BB}"/>
              </c:extLst>
            </c:dLbl>
            <c:dLbl>
              <c:idx val="2"/>
              <c:layout>
                <c:manualLayout>
                  <c:x val="2.747331519025489E-2"/>
                  <c:y val="-1.113739248951434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B5FE-43A2-A969-EDF74A411BD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da-DK"/>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17087.459606870805</c:v>
                </c:pt>
                <c:pt idx="1">
                  <c:v>2041.4829758410524</c:v>
                </c:pt>
                <c:pt idx="2">
                  <c:v>338.24057033955302</c:v>
                </c:pt>
              </c:numCache>
            </c:numRef>
          </c:val>
          <c:extLst xmlns:c16r2="http://schemas.microsoft.com/office/drawing/2015/06/char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da-DK"/>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xmlns:c16r2="http://schemas.microsoft.com/office/drawing/2015/06/char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xmlns:c16r2="http://schemas.microsoft.com/office/drawing/2015/06/char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xmlns:c16r2="http://schemas.microsoft.com/office/drawing/2015/06/char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xmlns:c16r2="http://schemas.microsoft.com/office/drawing/2015/06/char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xmlns:c16r2="http://schemas.microsoft.com/office/drawing/2015/06/char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xmlns:c16r2="http://schemas.microsoft.com/office/drawing/2015/06/chart">
              <c:ext xmlns:c16="http://schemas.microsoft.com/office/drawing/2014/chart" uri="{C3380CC4-5D6E-409C-BE32-E72D297353CC}">
                <c16:uniqueId val="{0000000B-0842-4CB3-B0C5-157EA74F13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xmlns:c16r2="http://schemas.microsoft.com/office/drawing/2015/06/chart">
              <c:ext xmlns:c16="http://schemas.microsoft.com/office/drawing/2014/chart" uri="{C3380CC4-5D6E-409C-BE32-E72D297353CC}">
                <c16:uniqueId val="{0000000D-0842-4CB3-B0C5-157EA74F13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da-DK"/>
              </a:p>
            </c:txPr>
            <c:dLblPos val="bestFit"/>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xmlns:c16r2="http://schemas.microsoft.com/office/drawing/2015/06/char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da-DK"/>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xmlns:c16r2="http://schemas.microsoft.com/office/drawing/2015/06/char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xmlns:c16r2="http://schemas.microsoft.com/office/drawing/2015/06/char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xmlns:c16r2="http://schemas.microsoft.com/office/drawing/2015/06/char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xmlns:c16r2="http://schemas.microsoft.com/office/drawing/2015/06/char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xmlns:c16r2="http://schemas.microsoft.com/office/drawing/2015/06/char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xmlns:c16r2="http://schemas.microsoft.com/office/drawing/2015/06/char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xmlns:c16r2="http://schemas.microsoft.com/office/drawing/2015/06/char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da-DK"/>
              </a:p>
            </c:txPr>
            <c:dLblPos val="bestFit"/>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xmlns:c16r2="http://schemas.microsoft.com/office/drawing/2015/06/char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da-DK"/>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xmlns:c16r2="http://schemas.microsoft.com/office/drawing/2015/06/char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xmlns:c16r2="http://schemas.microsoft.com/office/drawing/2015/06/char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xmlns:c16r2="http://schemas.microsoft.com/office/drawing/2015/06/char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xmlns:c16r2="http://schemas.microsoft.com/office/drawing/2015/06/char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xmlns:c16r2="http://schemas.microsoft.com/office/drawing/2015/06/char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xmlns:c16r2="http://schemas.microsoft.com/office/drawing/2015/06/char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xmlns:c16r2="http://schemas.microsoft.com/office/drawing/2015/06/char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da-DK"/>
              </a:p>
            </c:txPr>
            <c:dLblPos val="bestFit"/>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104760.7594997644</c:v>
                </c:pt>
                <c:pt idx="1">
                  <c:v>107391.73062230901</c:v>
                </c:pt>
                <c:pt idx="2">
                  <c:v>14412.697225320426</c:v>
                </c:pt>
                <c:pt idx="3">
                  <c:v>229090.91999999998</c:v>
                </c:pt>
                <c:pt idx="4">
                  <c:v>610342.88572360831</c:v>
                </c:pt>
                <c:pt idx="5">
                  <c:v>170431.98637333367</c:v>
                </c:pt>
                <c:pt idx="6">
                  <c:v>26304.454352618854</c:v>
                </c:pt>
              </c:numCache>
            </c:numRef>
          </c:val>
          <c:extLst xmlns:c16r2="http://schemas.microsoft.com/office/drawing/2015/06/char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da-DK"/>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6811.8587418167672</c:v>
                </c:pt>
                <c:pt idx="1">
                  <c:v>125577.23619510085</c:v>
                </c:pt>
                <c:pt idx="2">
                  <c:v>11303.801983051075</c:v>
                </c:pt>
                <c:pt idx="3">
                  <c:v>0</c:v>
                </c:pt>
              </c:numCache>
            </c:numRef>
          </c:val>
          <c:extLst xmlns:c16r2="http://schemas.microsoft.com/office/drawing/2015/06/char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409723768"/>
        <c:axId val="409719064"/>
      </c:barChart>
      <c:catAx>
        <c:axId val="40972376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a-DK"/>
          </a:p>
        </c:txPr>
        <c:crossAx val="409719064"/>
        <c:crosses val="autoZero"/>
        <c:auto val="1"/>
        <c:lblAlgn val="ctr"/>
        <c:lblOffset val="100"/>
        <c:noMultiLvlLbl val="0"/>
      </c:catAx>
      <c:valAx>
        <c:axId val="40971906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409723768"/>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da-DK"/>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-2513.2403261505492</c:v>
                </c:pt>
                <c:pt idx="1">
                  <c:v>556.99643449944301</c:v>
                </c:pt>
                <c:pt idx="2">
                  <c:v>430.76927901054478</c:v>
                </c:pt>
                <c:pt idx="3">
                  <c:v>0</c:v>
                </c:pt>
                <c:pt idx="4">
                  <c:v>2643.9177284235852</c:v>
                </c:pt>
              </c:numCache>
            </c:numRef>
          </c:val>
          <c:extLst xmlns:c16r2="http://schemas.microsoft.com/office/drawing/2015/06/char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23.637594101501683</c:v>
                </c:pt>
                <c:pt idx="2">
                  <c:v>5.9060261837896331</c:v>
                </c:pt>
                <c:pt idx="3" formatCode="General">
                  <c:v>0</c:v>
                </c:pt>
                <c:pt idx="4">
                  <c:v>1072.4481655734608</c:v>
                </c:pt>
              </c:numCache>
            </c:numRef>
          </c:val>
          <c:extLst xmlns:c16r2="http://schemas.microsoft.com/office/drawing/2015/06/char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409719456"/>
        <c:axId val="409718672"/>
      </c:barChart>
      <c:catAx>
        <c:axId val="40971945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a-DK"/>
          </a:p>
        </c:txPr>
        <c:crossAx val="409718672"/>
        <c:crosses val="autoZero"/>
        <c:auto val="1"/>
        <c:lblAlgn val="ctr"/>
        <c:lblOffset val="100"/>
        <c:noMultiLvlLbl val="0"/>
      </c:catAx>
      <c:valAx>
        <c:axId val="409718672"/>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409719456"/>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da-DK"/>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687.12071250000008</c:v>
                </c:pt>
                <c:pt idx="1">
                  <c:v>0</c:v>
                </c:pt>
              </c:numCache>
            </c:numRef>
          </c:val>
          <c:extLst xmlns:c16r2="http://schemas.microsoft.com/office/drawing/2015/06/char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169.40268874999998</c:v>
                </c:pt>
                <c:pt idx="1">
                  <c:v>8.7201562500000005</c:v>
                </c:pt>
              </c:numCache>
            </c:numRef>
          </c:val>
          <c:extLst xmlns:c16r2="http://schemas.microsoft.com/office/drawing/2015/06/char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1.9716587499999998</c:v>
                </c:pt>
                <c:pt idx="1">
                  <c:v>0</c:v>
                </c:pt>
              </c:numCache>
            </c:numRef>
          </c:val>
          <c:extLst xmlns:c16r2="http://schemas.microsoft.com/office/drawing/2015/06/char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409722984"/>
        <c:axId val="409719848"/>
      </c:barChart>
      <c:catAx>
        <c:axId val="40972298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a-DK"/>
          </a:p>
        </c:txPr>
        <c:crossAx val="409719848"/>
        <c:crosses val="autoZero"/>
        <c:auto val="1"/>
        <c:lblAlgn val="ctr"/>
        <c:lblOffset val="100"/>
        <c:noMultiLvlLbl val="0"/>
      </c:catAx>
      <c:valAx>
        <c:axId val="40971984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40972298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da-DK"/>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15257.672578125002</c:v>
                </c:pt>
                <c:pt idx="1">
                  <c:v>0</c:v>
                </c:pt>
              </c:numCache>
            </c:numRef>
          </c:val>
          <c:extLst xmlns:c16r2="http://schemas.microsoft.com/office/drawing/2015/06/char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409720240"/>
        <c:axId val="409721024"/>
      </c:barChart>
      <c:catAx>
        <c:axId val="4097202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a-DK"/>
          </a:p>
        </c:txPr>
        <c:crossAx val="409721024"/>
        <c:crosses val="autoZero"/>
        <c:auto val="1"/>
        <c:lblAlgn val="ctr"/>
        <c:lblOffset val="100"/>
        <c:noMultiLvlLbl val="0"/>
      </c:catAx>
      <c:valAx>
        <c:axId val="40972102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40972024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da-DK"/>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xmlns:c16r2="http://schemas.microsoft.com/office/drawing/2015/06/char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xmlns:c16r2="http://schemas.microsoft.com/office/drawing/2015/06/char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xmlns:c16r2="http://schemas.microsoft.com/office/drawing/2015/06/char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xmlns:c16r2="http://schemas.microsoft.com/office/drawing/2015/06/char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xmlns:c16r2="http://schemas.microsoft.com/office/drawing/2015/06/char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xmlns:c16r2="http://schemas.microsoft.com/office/drawing/2015/06/char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xmlns:c16r2="http://schemas.microsoft.com/office/drawing/2015/06/chart">
              <c:ext xmlns:c16="http://schemas.microsoft.com/office/drawing/2014/chart" uri="{C3380CC4-5D6E-409C-BE32-E72D297353CC}">
                <c16:uniqueId val="{0000000D-F686-45BD-8742-840B6AAA68F3}"/>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da-DK"/>
              </a:p>
            </c:txPr>
            <c:dLblPos val="ct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79810.195549002659</c:v>
                </c:pt>
                <c:pt idx="1">
                  <c:v>105050.75526334019</c:v>
                </c:pt>
                <c:pt idx="2">
                  <c:v>13272.394849247927</c:v>
                </c:pt>
                <c:pt idx="3">
                  <c:v>264928.10509999999</c:v>
                </c:pt>
                <c:pt idx="4">
                  <c:v>70730.128374609223</c:v>
                </c:pt>
                <c:pt idx="5">
                  <c:v>174151.80274126722</c:v>
                </c:pt>
                <c:pt idx="6">
                  <c:v>19467.18315305141</c:v>
                </c:pt>
              </c:numCache>
            </c:numRef>
          </c:val>
          <c:extLst xmlns:c16r2="http://schemas.microsoft.com/office/drawing/2015/06/char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da-DK"/>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xmlns:c16r2="http://schemas.microsoft.com/office/drawing/2015/06/char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xmlns:c16r2="http://schemas.microsoft.com/office/drawing/2015/06/char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xmlns:c16r2="http://schemas.microsoft.com/office/drawing/2015/06/char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xmlns:c16r2="http://schemas.microsoft.com/office/drawing/2015/06/char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xmlns:c16r2="http://schemas.microsoft.com/office/drawing/2015/06/char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xmlns:c16r2="http://schemas.microsoft.com/office/drawing/2015/06/char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xmlns:c16r2="http://schemas.microsoft.com/office/drawing/2015/06/char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409724160"/>
        <c:axId val="410780560"/>
      </c:barChart>
      <c:catAx>
        <c:axId val="40972416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a-DK"/>
          </a:p>
        </c:txPr>
        <c:crossAx val="410780560"/>
        <c:crosses val="autoZero"/>
        <c:auto val="1"/>
        <c:lblAlgn val="ctr"/>
        <c:lblOffset val="100"/>
        <c:noMultiLvlLbl val="0"/>
      </c:catAx>
      <c:valAx>
        <c:axId val="410780560"/>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409724160"/>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da-DK"/>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1262735.4337969548</c:v>
                </c:pt>
                <c:pt idx="1">
                  <c:v>727410.56503051869</c:v>
                </c:pt>
              </c:numCache>
            </c:numRef>
          </c:val>
          <c:extLst xmlns:c16r2="http://schemas.microsoft.com/office/drawing/2015/06/char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410776248"/>
        <c:axId val="410782128"/>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378820.63013908645</c:v>
                </c:pt>
                <c:pt idx="1">
                  <c:v>378820.63013908645</c:v>
                </c:pt>
              </c:numCache>
            </c:numRef>
          </c:val>
          <c:smooth val="0"/>
          <c:extLst xmlns:c16r2="http://schemas.microsoft.com/office/drawing/2015/06/char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410776248"/>
        <c:axId val="410782128"/>
      </c:lineChart>
      <c:catAx>
        <c:axId val="4107762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a-DK"/>
          </a:p>
        </c:txPr>
        <c:crossAx val="410782128"/>
        <c:crosses val="autoZero"/>
        <c:auto val="1"/>
        <c:lblAlgn val="ctr"/>
        <c:lblOffset val="100"/>
        <c:noMultiLvlLbl val="0"/>
      </c:catAx>
      <c:valAx>
        <c:axId val="4107821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410776248"/>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da-DK"/>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xmlns:c16r2="http://schemas.microsoft.com/office/drawing/2015/06/char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410775464"/>
        <c:axId val="410776640"/>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xmlns:c16r2="http://schemas.microsoft.com/office/drawing/2015/06/char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410775464"/>
        <c:axId val="410776640"/>
      </c:lineChart>
      <c:catAx>
        <c:axId val="41077546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a-DK"/>
          </a:p>
        </c:txPr>
        <c:crossAx val="410776640"/>
        <c:crosses val="autoZero"/>
        <c:auto val="1"/>
        <c:lblAlgn val="ctr"/>
        <c:lblOffset val="100"/>
        <c:noMultiLvlLbl val="0"/>
      </c:catAx>
      <c:valAx>
        <c:axId val="4107766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41077546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104760.7594997644</c:v>
                </c:pt>
                <c:pt idx="1">
                  <c:v>107391.73062230901</c:v>
                </c:pt>
                <c:pt idx="2">
                  <c:v>14412.697225320426</c:v>
                </c:pt>
                <c:pt idx="3">
                  <c:v>229090.91999999998</c:v>
                </c:pt>
                <c:pt idx="4">
                  <c:v>610342.88572360831</c:v>
                </c:pt>
                <c:pt idx="5">
                  <c:v>170431.98637333367</c:v>
                </c:pt>
                <c:pt idx="6">
                  <c:v>26304.454352618854</c:v>
                </c:pt>
              </c:numCache>
            </c:numRef>
          </c:val>
          <c:extLst xmlns:c16r2="http://schemas.microsoft.com/office/drawing/2015/06/char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79810.195549002659</c:v>
                </c:pt>
                <c:pt idx="1">
                  <c:v>105050.75526334019</c:v>
                </c:pt>
                <c:pt idx="2">
                  <c:v>13272.394849247927</c:v>
                </c:pt>
                <c:pt idx="3">
                  <c:v>264928.10509999999</c:v>
                </c:pt>
                <c:pt idx="4">
                  <c:v>70730.128374609223</c:v>
                </c:pt>
                <c:pt idx="5">
                  <c:v>174151.80274126722</c:v>
                </c:pt>
                <c:pt idx="6">
                  <c:v>19467.18315305141</c:v>
                </c:pt>
              </c:numCache>
            </c:numRef>
          </c:val>
          <c:extLst xmlns:c16r2="http://schemas.microsoft.com/office/drawing/2015/06/char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410782912"/>
        <c:axId val="410775856"/>
      </c:radarChart>
      <c:catAx>
        <c:axId val="41078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0775856"/>
        <c:crosses val="autoZero"/>
        <c:auto val="1"/>
        <c:lblAlgn val="ctr"/>
        <c:lblOffset val="100"/>
        <c:noMultiLvlLbl val="0"/>
      </c:catAx>
      <c:valAx>
        <c:axId val="41077585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107829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xmlns:c16r2="http://schemas.microsoft.com/office/drawing/2015/06/char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xmlns:c16r2="http://schemas.microsoft.com/office/drawing/2015/06/char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410780168"/>
        <c:axId val="410777424"/>
      </c:radarChart>
      <c:catAx>
        <c:axId val="410780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0777424"/>
        <c:crosses val="autoZero"/>
        <c:auto val="1"/>
        <c:lblAlgn val="ctr"/>
        <c:lblOffset val="100"/>
        <c:noMultiLvlLbl val="0"/>
      </c:catAx>
      <c:valAx>
        <c:axId val="410777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10780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da-DK"/>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xmlns:c16r2="http://schemas.microsoft.com/office/drawing/2015/06/char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xmlns:c16r2="http://schemas.microsoft.com/office/drawing/2015/06/char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xmlns:c16r2="http://schemas.microsoft.com/office/drawing/2015/06/char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xmlns:c16r2="http://schemas.microsoft.com/office/drawing/2015/06/char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xmlns:c16r2="http://schemas.microsoft.com/office/drawing/2015/06/char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xmlns:c16r2="http://schemas.microsoft.com/office/drawing/2015/06/char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xmlns:c16r2="http://schemas.microsoft.com/office/drawing/2015/06/char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xmlns:c16r2="http://schemas.microsoft.com/office/drawing/2015/06/char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xmlns:c16r2="http://schemas.microsoft.com/office/drawing/2015/06/char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xmlns:c16r2="http://schemas.microsoft.com/office/drawing/2015/06/char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xmlns:c16r2="http://schemas.microsoft.com/office/drawing/2015/06/char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xmlns:c16r2="http://schemas.microsoft.com/office/drawing/2015/06/char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xmlns:c16r2="http://schemas.microsoft.com/office/drawing/2015/06/char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xmlns:c16r2="http://schemas.microsoft.com/office/drawing/2015/06/char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xmlns:c16r2="http://schemas.microsoft.com/office/drawing/2015/06/char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xmlns:c16r2="http://schemas.microsoft.com/office/drawing/2015/06/char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da-DK"/>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11326.6</c:v>
                </c:pt>
                <c:pt idx="1">
                  <c:v>572.54</c:v>
                </c:pt>
                <c:pt idx="2">
                  <c:v>2459.4900000000002</c:v>
                </c:pt>
                <c:pt idx="3">
                  <c:v>2774.61</c:v>
                </c:pt>
                <c:pt idx="4">
                  <c:v>13191.73</c:v>
                </c:pt>
                <c:pt idx="5">
                  <c:v>1572.08</c:v>
                </c:pt>
                <c:pt idx="6">
                  <c:v>636.45000000000005</c:v>
                </c:pt>
                <c:pt idx="7">
                  <c:v>334.58000000000004</c:v>
                </c:pt>
                <c:pt idx="8">
                  <c:v>183.07999999999998</c:v>
                </c:pt>
                <c:pt idx="9">
                  <c:v>11.27</c:v>
                </c:pt>
                <c:pt idx="10">
                  <c:v>1332.2199999999998</c:v>
                </c:pt>
                <c:pt idx="11">
                  <c:v>60.96</c:v>
                </c:pt>
                <c:pt idx="12">
                  <c:v>1239.0899999999999</c:v>
                </c:pt>
                <c:pt idx="13">
                  <c:v>4689.96</c:v>
                </c:pt>
                <c:pt idx="14">
                  <c:v>3237.8900000000003</c:v>
                </c:pt>
                <c:pt idx="15">
                  <c:v>4070.82</c:v>
                </c:pt>
              </c:numCache>
            </c:numRef>
          </c:val>
          <c:extLst xmlns:c16r2="http://schemas.microsoft.com/office/drawing/2015/06/char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da-DK"/>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xmlns:c16r2="http://schemas.microsoft.com/office/drawing/2015/06/char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xmlns:c16r2="http://schemas.microsoft.com/office/drawing/2015/06/char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xmlns:c16r2="http://schemas.microsoft.com/office/drawing/2015/06/char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da-DK"/>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4689.96</c:v>
                </c:pt>
                <c:pt idx="1">
                  <c:v>3237.8900000000003</c:v>
                </c:pt>
                <c:pt idx="2">
                  <c:v>39765.51999999999</c:v>
                </c:pt>
              </c:numCache>
            </c:numRef>
          </c:val>
          <c:extLst xmlns:c16r2="http://schemas.microsoft.com/office/drawing/2015/06/char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da-DK"/>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100.7595191185456</c:v>
                </c:pt>
              </c:numCache>
            </c:numRef>
          </c:val>
          <c:extLst xmlns:c16r2="http://schemas.microsoft.com/office/drawing/2015/06/char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7460.0591283536096</c:v>
                </c:pt>
              </c:numCache>
            </c:numRef>
          </c:val>
          <c:extLst xmlns:c16r2="http://schemas.microsoft.com/office/drawing/2015/06/char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9526.6409593986482</c:v>
                </c:pt>
              </c:numCache>
            </c:numRef>
          </c:val>
          <c:extLst xmlns:c16r2="http://schemas.microsoft.com/office/drawing/2015/06/char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2041.4829758410524</c:v>
                </c:pt>
              </c:numCache>
            </c:numRef>
          </c:val>
          <c:extLst xmlns:c16r2="http://schemas.microsoft.com/office/drawing/2015/06/char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338.24057033955302</c:v>
                </c:pt>
              </c:numCache>
            </c:numRef>
          </c:val>
          <c:extLst xmlns:c16r2="http://schemas.microsoft.com/office/drawing/2015/06/char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410781736"/>
        <c:axId val="410778600"/>
      </c:barChart>
      <c:catAx>
        <c:axId val="410781736"/>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a-DK"/>
          </a:p>
        </c:txPr>
        <c:crossAx val="410778600"/>
        <c:crosses val="autoZero"/>
        <c:auto val="1"/>
        <c:lblAlgn val="ctr"/>
        <c:lblOffset val="100"/>
        <c:noMultiLvlLbl val="0"/>
      </c:catAx>
      <c:valAx>
        <c:axId val="4107786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410781736"/>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da-DK"/>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56940.427393257414</c:v>
                </c:pt>
              </c:numCache>
            </c:numRef>
          </c:val>
          <c:extLst xmlns:c16r2="http://schemas.microsoft.com/office/drawing/2015/06/char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16729.015601195293</c:v>
                </c:pt>
              </c:numCache>
            </c:numRef>
          </c:val>
          <c:extLst xmlns:c16r2="http://schemas.microsoft.com/office/drawing/2015/06/char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31464.88573365756</c:v>
                </c:pt>
              </c:numCache>
            </c:numRef>
          </c:val>
          <c:extLst xmlns:c16r2="http://schemas.microsoft.com/office/drawing/2015/06/char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0</c:v>
                </c:pt>
              </c:numCache>
            </c:numRef>
          </c:val>
          <c:extLst xmlns:c16r2="http://schemas.microsoft.com/office/drawing/2015/06/char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20.695017864830351</c:v>
                </c:pt>
              </c:numCache>
            </c:numRef>
          </c:val>
          <c:extLst xmlns:c16r2="http://schemas.microsoft.com/office/drawing/2015/06/char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18.670944425723697</c:v>
                </c:pt>
              </c:numCache>
            </c:numRef>
          </c:val>
          <c:extLst xmlns:c16r2="http://schemas.microsoft.com/office/drawing/2015/06/char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10.211805801329026</c:v>
                </c:pt>
              </c:numCache>
            </c:numRef>
          </c:val>
          <c:extLst xmlns:c16r2="http://schemas.microsoft.com/office/drawing/2015/06/char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xmlns:c16r2="http://schemas.microsoft.com/office/drawing/2015/06/char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33.99569667818885</c:v>
                </c:pt>
              </c:numCache>
            </c:numRef>
          </c:val>
          <c:extLst xmlns:c16r2="http://schemas.microsoft.com/office/drawing/2015/06/char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410779384"/>
        <c:axId val="411651400"/>
      </c:barChart>
      <c:catAx>
        <c:axId val="41077938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a-DK"/>
          </a:p>
        </c:txPr>
        <c:crossAx val="411651400"/>
        <c:crosses val="autoZero"/>
        <c:auto val="1"/>
        <c:lblAlgn val="ctr"/>
        <c:lblOffset val="100"/>
        <c:noMultiLvlLbl val="0"/>
      </c:catAx>
      <c:valAx>
        <c:axId val="41165140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41077938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da-DK"/>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10046.587432728156</c:v>
                </c:pt>
              </c:numCache>
            </c:numRef>
          </c:val>
          <c:extLst xmlns:c16r2="http://schemas.microsoft.com/office/drawing/2015/06/char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xmlns:c16r2="http://schemas.microsoft.com/office/drawing/2015/06/char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16074.053482142857</c:v>
                </c:pt>
              </c:numCache>
            </c:numRef>
          </c:val>
          <c:extLst xmlns:c16r2="http://schemas.microsoft.com/office/drawing/2015/06/char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2680.2847971428573</c:v>
                </c:pt>
              </c:numCache>
            </c:numRef>
          </c:val>
          <c:extLst xmlns:c16r2="http://schemas.microsoft.com/office/drawing/2015/06/char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19.499417142857141</c:v>
                </c:pt>
              </c:numCache>
            </c:numRef>
          </c:val>
          <c:extLst xmlns:c16r2="http://schemas.microsoft.com/office/drawing/2015/06/char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24399.413688571425</c:v>
                </c:pt>
              </c:numCache>
            </c:numRef>
          </c:val>
          <c:extLst xmlns:c16r2="http://schemas.microsoft.com/office/drawing/2015/06/char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15569.329285714288</c:v>
                </c:pt>
              </c:numCache>
            </c:numRef>
          </c:val>
          <c:extLst xmlns:c16r2="http://schemas.microsoft.com/office/drawing/2015/06/char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1483.7362149731812</c:v>
                </c:pt>
              </c:numCache>
            </c:numRef>
          </c:val>
          <c:extLst xmlns:c16r2="http://schemas.microsoft.com/office/drawing/2015/06/char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2998.9625914285716</c:v>
                </c:pt>
              </c:numCache>
            </c:numRef>
          </c:val>
          <c:extLst xmlns:c16r2="http://schemas.microsoft.com/office/drawing/2015/06/char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7494.1401857142864</c:v>
                </c:pt>
              </c:numCache>
            </c:numRef>
          </c:val>
          <c:extLst xmlns:c16r2="http://schemas.microsoft.com/office/drawing/2015/06/char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4346.999162571944</c:v>
                </c:pt>
              </c:numCache>
            </c:numRef>
          </c:val>
          <c:extLst xmlns:c16r2="http://schemas.microsoft.com/office/drawing/2015/06/char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25.243469367417642</c:v>
                </c:pt>
              </c:numCache>
            </c:numRef>
          </c:val>
          <c:extLst xmlns:c16r2="http://schemas.microsoft.com/office/drawing/2015/06/char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52.014832933389499</c:v>
                </c:pt>
              </c:numCache>
            </c:numRef>
          </c:val>
          <c:extLst xmlns:c16r2="http://schemas.microsoft.com/office/drawing/2015/06/char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411651792"/>
        <c:axId val="411656104"/>
      </c:barChart>
      <c:catAx>
        <c:axId val="4116517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a-DK"/>
          </a:p>
        </c:txPr>
        <c:crossAx val="411656104"/>
        <c:crosses val="autoZero"/>
        <c:auto val="1"/>
        <c:lblAlgn val="ctr"/>
        <c:lblOffset val="100"/>
        <c:noMultiLvlLbl val="0"/>
      </c:catAx>
      <c:valAx>
        <c:axId val="4116561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4116517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da-DK"/>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56940.427393257414</c:v>
                </c:pt>
                <c:pt idx="1">
                  <c:v>48110.32787008278</c:v>
                </c:pt>
                <c:pt idx="2">
                  <c:v>10046.587432728156</c:v>
                </c:pt>
                <c:pt idx="3">
                  <c:v>2998.9625914285716</c:v>
                </c:pt>
                <c:pt idx="4">
                  <c:v>7494.1401857142864</c:v>
                </c:pt>
                <c:pt idx="5">
                  <c:v>19.499417142857141</c:v>
                </c:pt>
                <c:pt idx="6">
                  <c:v>16074.053482142857</c:v>
                </c:pt>
                <c:pt idx="7">
                  <c:v>24399.413688571425</c:v>
                </c:pt>
                <c:pt idx="8">
                  <c:v>15569.329285714288</c:v>
                </c:pt>
                <c:pt idx="9">
                  <c:v>1483.7362149731812</c:v>
                </c:pt>
                <c:pt idx="10">
                  <c:v>4424.2574648727514</c:v>
                </c:pt>
              </c:numCache>
            </c:numRef>
          </c:val>
          <c:extLst xmlns:c16r2="http://schemas.microsoft.com/office/drawing/2015/06/char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411652968"/>
        <c:axId val="411652184"/>
      </c:barChart>
      <c:catAx>
        <c:axId val="41165296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da-DK"/>
          </a:p>
        </c:txPr>
        <c:crossAx val="411652184"/>
        <c:crosses val="autoZero"/>
        <c:auto val="1"/>
        <c:lblAlgn val="ctr"/>
        <c:lblOffset val="100"/>
        <c:noMultiLvlLbl val="0"/>
      </c:catAx>
      <c:valAx>
        <c:axId val="4116521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411652968"/>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da-DK"/>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xmlns:c16r2="http://schemas.microsoft.com/office/drawing/2015/06/char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xmlns:c16r2="http://schemas.microsoft.com/office/drawing/2015/06/char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xmlns:c16r2="http://schemas.microsoft.com/office/drawing/2015/06/char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xmlns:c16r2="http://schemas.microsoft.com/office/drawing/2015/06/char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xmlns:c16r2="http://schemas.microsoft.com/office/drawing/2015/06/char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xmlns:c16r2="http://schemas.microsoft.com/office/drawing/2015/06/char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xmlns:c16r2="http://schemas.microsoft.com/office/drawing/2015/06/char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da-DK"/>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7075.1850000000004</c:v>
                </c:pt>
                <c:pt idx="1">
                  <c:v>54195.254999999997</c:v>
                </c:pt>
                <c:pt idx="2">
                  <c:v>2250.3775000000001</c:v>
                </c:pt>
                <c:pt idx="3">
                  <c:v>1747.8125</c:v>
                </c:pt>
                <c:pt idx="4">
                  <c:v>560.3125</c:v>
                </c:pt>
                <c:pt idx="5">
                  <c:v>8518.8125</c:v>
                </c:pt>
                <c:pt idx="6">
                  <c:v>3.5</c:v>
                </c:pt>
              </c:numCache>
            </c:numRef>
          </c:val>
          <c:extLst xmlns:c16r2="http://schemas.microsoft.com/office/drawing/2015/06/char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twoCellAnchor editAs="oneCell">
    <xdr:from>
      <xdr:col>21</xdr:col>
      <xdr:colOff>816429</xdr:colOff>
      <xdr:row>6</xdr:row>
      <xdr:rowOff>408214</xdr:rowOff>
    </xdr:from>
    <xdr:to>
      <xdr:col>21</xdr:col>
      <xdr:colOff>3108723</xdr:colOff>
      <xdr:row>6</xdr:row>
      <xdr:rowOff>935123</xdr:rowOff>
    </xdr:to>
    <xdr:pic>
      <xdr:nvPicPr>
        <xdr:cNvPr id="5" name="Billede 4">
          <a:extLst>
            <a:ext uri="{FF2B5EF4-FFF2-40B4-BE49-F238E27FC236}">
              <a16:creationId xmlns="" xmlns:a16="http://schemas.microsoft.com/office/drawing/2014/main" id="{8EB7FD24-9091-49E4-A052-CFDF98D46C54}"/>
            </a:ext>
          </a:extLst>
        </xdr:cNvPr>
        <xdr:cNvPicPr>
          <a:picLocks noChangeAspect="1"/>
        </xdr:cNvPicPr>
      </xdr:nvPicPr>
      <xdr:blipFill>
        <a:blip xmlns:r="http://schemas.openxmlformats.org/officeDocument/2006/relationships" r:embed="rId1"/>
        <a:stretch>
          <a:fillRect/>
        </a:stretch>
      </xdr:blipFill>
      <xdr:spPr>
        <a:xfrm>
          <a:off x="14408604" y="1741714"/>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819150</xdr:colOff>
      <xdr:row>7</xdr:row>
      <xdr:rowOff>1162050</xdr:rowOff>
    </xdr:from>
    <xdr:to>
      <xdr:col>9</xdr:col>
      <xdr:colOff>3103824</xdr:colOff>
      <xdr:row>7</xdr:row>
      <xdr:rowOff>1692769</xdr:rowOff>
    </xdr:to>
    <xdr:pic>
      <xdr:nvPicPr>
        <xdr:cNvPr id="4" name="Billede 3">
          <a:extLst>
            <a:ext uri="{FF2B5EF4-FFF2-40B4-BE49-F238E27FC236}">
              <a16:creationId xmlns="" xmlns:a16="http://schemas.microsoft.com/office/drawing/2014/main" id="{CACABE94-F433-40D9-A335-27897BB73C55}"/>
            </a:ext>
          </a:extLst>
        </xdr:cNvPr>
        <xdr:cNvPicPr>
          <a:picLocks noChangeAspect="1"/>
        </xdr:cNvPicPr>
      </xdr:nvPicPr>
      <xdr:blipFill>
        <a:blip xmlns:r="http://schemas.openxmlformats.org/officeDocument/2006/relationships" r:embed="rId1"/>
        <a:stretch>
          <a:fillRect/>
        </a:stretch>
      </xdr:blipFill>
      <xdr:spPr>
        <a:xfrm>
          <a:off x="6200775" y="2828925"/>
          <a:ext cx="228467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 xmlns:a16="http://schemas.microsoft.com/office/drawing/2014/main" id="{93F4DD6C-FB04-4271-8970-E441FB7EF66F}"/>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1075765</xdr:colOff>
      <xdr:row>9</xdr:row>
      <xdr:rowOff>403412</xdr:rowOff>
    </xdr:from>
    <xdr:to>
      <xdr:col>6</xdr:col>
      <xdr:colOff>3364884</xdr:colOff>
      <xdr:row>9</xdr:row>
      <xdr:rowOff>930956</xdr:rowOff>
    </xdr:to>
    <xdr:pic>
      <xdr:nvPicPr>
        <xdr:cNvPr id="3" name="Billede 2">
          <a:extLst>
            <a:ext uri="{FF2B5EF4-FFF2-40B4-BE49-F238E27FC236}">
              <a16:creationId xmlns="" xmlns:a16="http://schemas.microsoft.com/office/drawing/2014/main" id="{2804750B-3275-43EF-BA8F-6031A5E670BE}"/>
            </a:ext>
          </a:extLst>
        </xdr:cNvPr>
        <xdr:cNvPicPr>
          <a:picLocks noChangeAspect="1"/>
        </xdr:cNvPicPr>
      </xdr:nvPicPr>
      <xdr:blipFill>
        <a:blip xmlns:r="http://schemas.openxmlformats.org/officeDocument/2006/relationships" r:embed="rId1"/>
        <a:stretch>
          <a:fillRect/>
        </a:stretch>
      </xdr:blipFill>
      <xdr:spPr>
        <a:xfrm>
          <a:off x="5638240" y="2432237"/>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 xmlns:a16="http://schemas.microsoft.com/office/drawing/2014/main" id="{3A1C343E-90C0-495E-A34D-E441B05A95E3}"/>
            </a:ext>
          </a:extLst>
        </xdr:cNvPr>
        <xdr:cNvGrpSpPr>
          <a:grpSpLocks/>
        </xdr:cNvGrpSpPr>
      </xdr:nvGrpSpPr>
      <xdr:grpSpPr bwMode="auto">
        <a:xfrm>
          <a:off x="11821704" y="18563046"/>
          <a:ext cx="5565957" cy="741862"/>
          <a:chOff x="12495439" y="13596257"/>
          <a:chExt cx="5783036" cy="704850"/>
        </a:xfrm>
      </xdr:grpSpPr>
      <xdr:pic>
        <xdr:nvPicPr>
          <xdr:cNvPr id="3" name="Picture 9" descr="RM's logo">
            <a:extLst>
              <a:ext uri="{FF2B5EF4-FFF2-40B4-BE49-F238E27FC236}">
                <a16:creationId xmlns=""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 xmlns:a16="http://schemas.microsoft.com/office/drawing/2014/main" id="{210FD02B-8E95-4DC4-8C22-185509FFB2B3}"/>
            </a:ext>
          </a:extLst>
        </xdr:cNvPr>
        <xdr:cNvGrpSpPr>
          <a:grpSpLocks/>
        </xdr:cNvGrpSpPr>
      </xdr:nvGrpSpPr>
      <xdr:grpSpPr bwMode="auto">
        <a:xfrm>
          <a:off x="11851821" y="18546536"/>
          <a:ext cx="5557430" cy="741862"/>
          <a:chOff x="12495439" y="13596257"/>
          <a:chExt cx="5783036" cy="704850"/>
        </a:xfrm>
      </xdr:grpSpPr>
      <xdr:pic>
        <xdr:nvPicPr>
          <xdr:cNvPr id="6" name="Picture 9" descr="RM's logo">
            <a:extLst>
              <a:ext uri="{FF2B5EF4-FFF2-40B4-BE49-F238E27FC236}">
                <a16:creationId xmlns=""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 xmlns:a16="http://schemas.microsoft.com/office/drawing/2014/main" id="{AF50EAF6-4AA3-4C30-973E-241DAC46F2D0}"/>
            </a:ext>
          </a:extLst>
        </xdr:cNvPr>
        <xdr:cNvGrpSpPr>
          <a:grpSpLocks/>
        </xdr:cNvGrpSpPr>
      </xdr:nvGrpSpPr>
      <xdr:grpSpPr bwMode="auto">
        <a:xfrm>
          <a:off x="11851821" y="18546536"/>
          <a:ext cx="5557430" cy="741862"/>
          <a:chOff x="12495439" y="13596257"/>
          <a:chExt cx="5783036" cy="704850"/>
        </a:xfrm>
      </xdr:grpSpPr>
      <xdr:pic>
        <xdr:nvPicPr>
          <xdr:cNvPr id="9" name="Picture 9" descr="RM's logo">
            <a:extLst>
              <a:ext uri="{FF2B5EF4-FFF2-40B4-BE49-F238E27FC236}">
                <a16:creationId xmlns=""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 xmlns:a16="http://schemas.microsoft.com/office/drawing/2014/main" id="{F4304616-E7C8-45D1-B9B7-D9670CBA9261}"/>
            </a:ext>
          </a:extLst>
        </xdr:cNvPr>
        <xdr:cNvGrpSpPr>
          <a:grpSpLocks/>
        </xdr:cNvGrpSpPr>
      </xdr:nvGrpSpPr>
      <xdr:grpSpPr bwMode="auto">
        <a:xfrm>
          <a:off x="11851821" y="18546536"/>
          <a:ext cx="5557430" cy="741862"/>
          <a:chOff x="12495439" y="13596257"/>
          <a:chExt cx="5783036" cy="704850"/>
        </a:xfrm>
      </xdr:grpSpPr>
      <xdr:pic>
        <xdr:nvPicPr>
          <xdr:cNvPr id="12" name="Picture 9" descr="RM's logo">
            <a:extLst>
              <a:ext uri="{FF2B5EF4-FFF2-40B4-BE49-F238E27FC236}">
                <a16:creationId xmlns=""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 xmlns:a16="http://schemas.microsoft.com/office/drawing/2014/main" id="{2B7F29BB-7306-46DB-B62E-780454C03997}"/>
            </a:ext>
          </a:extLst>
        </xdr:cNvPr>
        <xdr:cNvGrpSpPr>
          <a:grpSpLocks/>
        </xdr:cNvGrpSpPr>
      </xdr:nvGrpSpPr>
      <xdr:grpSpPr bwMode="auto">
        <a:xfrm>
          <a:off x="11851821" y="18546536"/>
          <a:ext cx="5557430" cy="741862"/>
          <a:chOff x="12495439" y="13596257"/>
          <a:chExt cx="5783036" cy="704850"/>
        </a:xfrm>
      </xdr:grpSpPr>
      <xdr:pic>
        <xdr:nvPicPr>
          <xdr:cNvPr id="16" name="Picture 9" descr="RM's logo">
            <a:extLst>
              <a:ext uri="{FF2B5EF4-FFF2-40B4-BE49-F238E27FC236}">
                <a16:creationId xmlns=""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 xmlns:a16="http://schemas.microsoft.com/office/drawing/2014/main" id="{2060791F-A44D-4E7F-8639-CF94CE7CDFE5}"/>
            </a:ext>
          </a:extLst>
        </xdr:cNvPr>
        <xdr:cNvGrpSpPr>
          <a:grpSpLocks/>
        </xdr:cNvGrpSpPr>
      </xdr:nvGrpSpPr>
      <xdr:grpSpPr bwMode="auto">
        <a:xfrm>
          <a:off x="11851821" y="18546536"/>
          <a:ext cx="5557430" cy="741862"/>
          <a:chOff x="12495439" y="13596257"/>
          <a:chExt cx="5783036" cy="704850"/>
        </a:xfrm>
      </xdr:grpSpPr>
      <xdr:pic>
        <xdr:nvPicPr>
          <xdr:cNvPr id="19" name="Picture 9" descr="RM's logo">
            <a:extLst>
              <a:ext uri="{FF2B5EF4-FFF2-40B4-BE49-F238E27FC236}">
                <a16:creationId xmlns=""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 xmlns:a16="http://schemas.microsoft.com/office/drawing/2014/main" id="{FF5F3A91-1BB9-4892-A1BB-0D862A4F41D4}"/>
            </a:ext>
          </a:extLst>
        </xdr:cNvPr>
        <xdr:cNvGrpSpPr>
          <a:grpSpLocks/>
        </xdr:cNvGrpSpPr>
      </xdr:nvGrpSpPr>
      <xdr:grpSpPr bwMode="auto">
        <a:xfrm>
          <a:off x="11851821" y="18546536"/>
          <a:ext cx="5557430" cy="741862"/>
          <a:chOff x="12495439" y="13596257"/>
          <a:chExt cx="5783036" cy="704850"/>
        </a:xfrm>
      </xdr:grpSpPr>
      <xdr:pic>
        <xdr:nvPicPr>
          <xdr:cNvPr id="22" name="Picture 9" descr="RM's logo">
            <a:extLst>
              <a:ext uri="{FF2B5EF4-FFF2-40B4-BE49-F238E27FC236}">
                <a16:creationId xmlns=""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 xmlns:a16="http://schemas.microsoft.com/office/drawing/2014/main" id="{8E831F84-695A-4A73-9A73-3611CFEF9604}"/>
            </a:ext>
          </a:extLst>
        </xdr:cNvPr>
        <xdr:cNvGrpSpPr>
          <a:grpSpLocks/>
        </xdr:cNvGrpSpPr>
      </xdr:nvGrpSpPr>
      <xdr:grpSpPr bwMode="auto">
        <a:xfrm>
          <a:off x="11851821" y="18546536"/>
          <a:ext cx="5557430" cy="741862"/>
          <a:chOff x="12495439" y="13596257"/>
          <a:chExt cx="5783036" cy="704850"/>
        </a:xfrm>
      </xdr:grpSpPr>
      <xdr:pic>
        <xdr:nvPicPr>
          <xdr:cNvPr id="25" name="Picture 9" descr="RM's logo">
            <a:extLst>
              <a:ext uri="{FF2B5EF4-FFF2-40B4-BE49-F238E27FC236}">
                <a16:creationId xmlns=""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 xmlns:a16="http://schemas.microsoft.com/office/drawing/2014/main" id="{7E31CABD-3E05-44A1-B428-5A01146EF734}"/>
            </a:ext>
          </a:extLst>
        </xdr:cNvPr>
        <xdr:cNvGrpSpPr>
          <a:grpSpLocks/>
        </xdr:cNvGrpSpPr>
      </xdr:nvGrpSpPr>
      <xdr:grpSpPr bwMode="auto">
        <a:xfrm>
          <a:off x="11851821" y="18546536"/>
          <a:ext cx="5557430" cy="741862"/>
          <a:chOff x="12495439" y="13596257"/>
          <a:chExt cx="5783036" cy="704850"/>
        </a:xfrm>
      </xdr:grpSpPr>
      <xdr:pic>
        <xdr:nvPicPr>
          <xdr:cNvPr id="28" name="Picture 9" descr="RM's logo">
            <a:extLst>
              <a:ext uri="{FF2B5EF4-FFF2-40B4-BE49-F238E27FC236}">
                <a16:creationId xmlns=""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0" name="Gruppe 3">
          <a:extLst>
            <a:ext uri="{FF2B5EF4-FFF2-40B4-BE49-F238E27FC236}">
              <a16:creationId xmlns="" xmlns:a16="http://schemas.microsoft.com/office/drawing/2014/main" id="{342694C1-AB64-4345-9C59-AABBC9C82F9A}"/>
            </a:ext>
          </a:extLst>
        </xdr:cNvPr>
        <xdr:cNvGrpSpPr>
          <a:grpSpLocks/>
        </xdr:cNvGrpSpPr>
      </xdr:nvGrpSpPr>
      <xdr:grpSpPr bwMode="auto">
        <a:xfrm>
          <a:off x="11851821" y="18546536"/>
          <a:ext cx="5557430" cy="741862"/>
          <a:chOff x="12495439" y="13596257"/>
          <a:chExt cx="5783036" cy="704850"/>
        </a:xfrm>
      </xdr:grpSpPr>
      <xdr:pic>
        <xdr:nvPicPr>
          <xdr:cNvPr id="31" name="Picture 9" descr="RM's logo">
            <a:extLst>
              <a:ext uri="{FF2B5EF4-FFF2-40B4-BE49-F238E27FC236}">
                <a16:creationId xmlns="" xmlns:a16="http://schemas.microsoft.com/office/drawing/2014/main" id="{97EFBEF4-C566-413E-BBD2-65C2A2BA3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2" name="Billede 0" descr="logo.wmf">
            <a:extLst>
              <a:ext uri="{FF2B5EF4-FFF2-40B4-BE49-F238E27FC236}">
                <a16:creationId xmlns="" xmlns:a16="http://schemas.microsoft.com/office/drawing/2014/main" id="{C73BFC30-77DA-4DB0-9FE5-D1F9701B3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3" name="Gruppe 3">
          <a:extLst>
            <a:ext uri="{FF2B5EF4-FFF2-40B4-BE49-F238E27FC236}">
              <a16:creationId xmlns="" xmlns:a16="http://schemas.microsoft.com/office/drawing/2014/main" id="{A1F18D38-44AC-4191-AC58-6DB698E13089}"/>
            </a:ext>
          </a:extLst>
        </xdr:cNvPr>
        <xdr:cNvGrpSpPr>
          <a:grpSpLocks/>
        </xdr:cNvGrpSpPr>
      </xdr:nvGrpSpPr>
      <xdr:grpSpPr bwMode="auto">
        <a:xfrm>
          <a:off x="11851821" y="18546536"/>
          <a:ext cx="5557430" cy="741862"/>
          <a:chOff x="12495439" y="13596257"/>
          <a:chExt cx="5783036" cy="704850"/>
        </a:xfrm>
      </xdr:grpSpPr>
      <xdr:pic>
        <xdr:nvPicPr>
          <xdr:cNvPr id="34" name="Picture 9" descr="RM's logo">
            <a:extLst>
              <a:ext uri="{FF2B5EF4-FFF2-40B4-BE49-F238E27FC236}">
                <a16:creationId xmlns="" xmlns:a16="http://schemas.microsoft.com/office/drawing/2014/main" id="{B9E6BE37-65DD-4150-BFAE-3B55FFB3C9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5" name="Billede 0" descr="logo.wmf">
            <a:extLst>
              <a:ext uri="{FF2B5EF4-FFF2-40B4-BE49-F238E27FC236}">
                <a16:creationId xmlns="" xmlns:a16="http://schemas.microsoft.com/office/drawing/2014/main" id="{6573994F-B789-4588-9E1E-1EFAEE6176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6" name="Gruppe 3">
          <a:extLst>
            <a:ext uri="{FF2B5EF4-FFF2-40B4-BE49-F238E27FC236}">
              <a16:creationId xmlns="" xmlns:a16="http://schemas.microsoft.com/office/drawing/2014/main" id="{07B7239D-7163-4C33-9EC5-DAF91284A5FF}"/>
            </a:ext>
          </a:extLst>
        </xdr:cNvPr>
        <xdr:cNvGrpSpPr>
          <a:grpSpLocks/>
        </xdr:cNvGrpSpPr>
      </xdr:nvGrpSpPr>
      <xdr:grpSpPr bwMode="auto">
        <a:xfrm>
          <a:off x="11851821" y="18546536"/>
          <a:ext cx="5557430" cy="741862"/>
          <a:chOff x="12495439" y="13596257"/>
          <a:chExt cx="5783036" cy="704850"/>
        </a:xfrm>
      </xdr:grpSpPr>
      <xdr:pic>
        <xdr:nvPicPr>
          <xdr:cNvPr id="37" name="Picture 9" descr="RM's logo">
            <a:extLst>
              <a:ext uri="{FF2B5EF4-FFF2-40B4-BE49-F238E27FC236}">
                <a16:creationId xmlns="" xmlns:a16="http://schemas.microsoft.com/office/drawing/2014/main" id="{0EB72CC4-2357-47F5-9255-3050369CB3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8" name="Billede 0" descr="logo.wmf">
            <a:extLst>
              <a:ext uri="{FF2B5EF4-FFF2-40B4-BE49-F238E27FC236}">
                <a16:creationId xmlns="" xmlns:a16="http://schemas.microsoft.com/office/drawing/2014/main" id="{F529DEC5-002E-49E3-B24D-5BC0CA91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9" name="Gruppe 3">
          <a:extLst>
            <a:ext uri="{FF2B5EF4-FFF2-40B4-BE49-F238E27FC236}">
              <a16:creationId xmlns="" xmlns:a16="http://schemas.microsoft.com/office/drawing/2014/main" id="{DC1DB2E9-D89A-4411-8A77-FE25570B594C}"/>
            </a:ext>
          </a:extLst>
        </xdr:cNvPr>
        <xdr:cNvGrpSpPr>
          <a:grpSpLocks/>
        </xdr:cNvGrpSpPr>
      </xdr:nvGrpSpPr>
      <xdr:grpSpPr bwMode="auto">
        <a:xfrm>
          <a:off x="11851821" y="18546536"/>
          <a:ext cx="5557430" cy="741862"/>
          <a:chOff x="12495439" y="13596257"/>
          <a:chExt cx="5783036" cy="704850"/>
        </a:xfrm>
      </xdr:grpSpPr>
      <xdr:pic>
        <xdr:nvPicPr>
          <xdr:cNvPr id="40" name="Picture 9" descr="RM's logo">
            <a:extLst>
              <a:ext uri="{FF2B5EF4-FFF2-40B4-BE49-F238E27FC236}">
                <a16:creationId xmlns="" xmlns:a16="http://schemas.microsoft.com/office/drawing/2014/main" id="{989AB4DE-DF74-46A6-85D3-DE72F33B8A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1" name="Billede 0" descr="logo.wmf">
            <a:extLst>
              <a:ext uri="{FF2B5EF4-FFF2-40B4-BE49-F238E27FC236}">
                <a16:creationId xmlns="" xmlns:a16="http://schemas.microsoft.com/office/drawing/2014/main" id="{57601A86-6DD2-41EC-86C6-F0A130EB00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2" name="Gruppe 3">
          <a:extLst>
            <a:ext uri="{FF2B5EF4-FFF2-40B4-BE49-F238E27FC236}">
              <a16:creationId xmlns="" xmlns:a16="http://schemas.microsoft.com/office/drawing/2014/main" id="{3EC19C50-CA7E-49AB-AD30-B86AD07481CD}"/>
            </a:ext>
          </a:extLst>
        </xdr:cNvPr>
        <xdr:cNvGrpSpPr>
          <a:grpSpLocks/>
        </xdr:cNvGrpSpPr>
      </xdr:nvGrpSpPr>
      <xdr:grpSpPr bwMode="auto">
        <a:xfrm>
          <a:off x="11851821" y="18546536"/>
          <a:ext cx="5557430" cy="741862"/>
          <a:chOff x="12495439" y="13596257"/>
          <a:chExt cx="5783036" cy="704850"/>
        </a:xfrm>
      </xdr:grpSpPr>
      <xdr:pic>
        <xdr:nvPicPr>
          <xdr:cNvPr id="43" name="Picture 9" descr="RM's logo">
            <a:extLst>
              <a:ext uri="{FF2B5EF4-FFF2-40B4-BE49-F238E27FC236}">
                <a16:creationId xmlns="" xmlns:a16="http://schemas.microsoft.com/office/drawing/2014/main" id="{15713E39-3909-472A-974E-042156B1BB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4" name="Billede 0" descr="logo.wmf">
            <a:extLst>
              <a:ext uri="{FF2B5EF4-FFF2-40B4-BE49-F238E27FC236}">
                <a16:creationId xmlns="" xmlns:a16="http://schemas.microsoft.com/office/drawing/2014/main" id="{E8238330-64BF-49ED-B328-2EE7A2CE74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 xmlns:a16="http://schemas.microsoft.com/office/drawing/2014/main" id="{4B10A870-EDC3-4816-9F0F-97C0471CAAC5}"/>
            </a:ext>
          </a:extLst>
        </xdr:cNvPr>
        <xdr:cNvGrpSpPr>
          <a:grpSpLocks/>
        </xdr:cNvGrpSpPr>
      </xdr:nvGrpSpPr>
      <xdr:grpSpPr bwMode="auto">
        <a:xfrm>
          <a:off x="11763375" y="18488025"/>
          <a:ext cx="5530487" cy="177982"/>
          <a:chOff x="12495439" y="13596257"/>
          <a:chExt cx="5783036" cy="704850"/>
        </a:xfrm>
      </xdr:grpSpPr>
      <xdr:pic>
        <xdr:nvPicPr>
          <xdr:cNvPr id="3" name="Picture 9" descr="RM's logo">
            <a:extLst>
              <a:ext uri="{FF2B5EF4-FFF2-40B4-BE49-F238E27FC236}">
                <a16:creationId xmlns="" xmlns:a16="http://schemas.microsoft.com/office/drawing/2014/main" id="{EE307789-6D3C-49CE-B2BF-67D961F6780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 xmlns:a16="http://schemas.microsoft.com/office/drawing/2014/main" id="{E4C7A565-2F3D-4E88-B115-23894C6CEF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87"/>
  <sheetViews>
    <sheetView tabSelected="1" topLeftCell="F2" zoomScale="70" zoomScaleNormal="70" workbookViewId="0">
      <selection activeCell="V31" sqref="V31"/>
    </sheetView>
  </sheetViews>
  <sheetFormatPr defaultColWidth="9.33203125" defaultRowHeight="13.8" x14ac:dyDescent="0.25"/>
  <cols>
    <col min="1" max="1" width="7.33203125" style="36" customWidth="1"/>
    <col min="2" max="2" width="14.33203125" style="36" bestFit="1" customWidth="1"/>
    <col min="3" max="5" width="9.33203125" style="36"/>
    <col min="6" max="6" width="10.44140625" style="36" customWidth="1"/>
    <col min="7" max="12" width="9.33203125" style="36"/>
    <col min="13" max="13" width="10" style="36" customWidth="1"/>
    <col min="14" max="15" width="9.33203125" style="36"/>
    <col min="16" max="16" width="10.44140625" style="36" customWidth="1"/>
    <col min="17" max="19" width="9.33203125" style="36"/>
    <col min="20" max="20" width="10.44140625" style="36" customWidth="1"/>
    <col min="21" max="21" width="11" style="36" customWidth="1"/>
    <col min="22" max="22" width="58.6640625" style="46" bestFit="1" customWidth="1"/>
    <col min="23" max="23" width="9.44140625" style="36" customWidth="1"/>
    <col min="24" max="25" width="9.33203125" style="36"/>
    <col min="26" max="26" width="8.6640625" style="36" customWidth="1"/>
    <col min="27" max="27" width="11.5546875" style="36" customWidth="1"/>
    <col min="28" max="16384" width="9.33203125" style="36"/>
  </cols>
  <sheetData>
    <row r="1" spans="1:27" ht="14.4" thickBot="1" x14ac:dyDescent="0.3">
      <c r="V1" s="36"/>
    </row>
    <row r="2" spans="1:27" x14ac:dyDescent="0.25">
      <c r="B2" s="542" t="s">
        <v>31</v>
      </c>
      <c r="C2" s="543"/>
      <c r="D2" s="544"/>
      <c r="E2" s="134"/>
      <c r="F2" s="221">
        <v>2018</v>
      </c>
      <c r="G2" s="6"/>
      <c r="H2" s="6"/>
      <c r="I2" s="6"/>
      <c r="J2" s="6"/>
      <c r="K2" s="6"/>
      <c r="L2" s="6"/>
      <c r="M2" s="6"/>
      <c r="N2" s="6"/>
      <c r="O2" s="6"/>
      <c r="V2" s="48" t="s">
        <v>70</v>
      </c>
    </row>
    <row r="3" spans="1:27" ht="28.8" thickBot="1" x14ac:dyDescent="0.4">
      <c r="B3" s="546" t="s">
        <v>232</v>
      </c>
      <c r="C3" s="547"/>
      <c r="D3" s="223" t="s">
        <v>408</v>
      </c>
      <c r="E3" s="400" t="s">
        <v>409</v>
      </c>
      <c r="F3" s="243" t="s">
        <v>410</v>
      </c>
      <c r="G3" s="244"/>
      <c r="H3" s="244"/>
      <c r="I3" s="244"/>
      <c r="J3" s="244"/>
      <c r="K3" s="244"/>
      <c r="L3" s="244"/>
      <c r="M3" s="244"/>
      <c r="N3" s="244"/>
      <c r="O3" s="244"/>
      <c r="V3" s="44" t="s">
        <v>1</v>
      </c>
    </row>
    <row r="4" spans="1:27" ht="17.25" customHeight="1" x14ac:dyDescent="0.25">
      <c r="B4" s="6"/>
      <c r="C4" s="6"/>
      <c r="D4" s="6"/>
      <c r="E4" s="6"/>
      <c r="F4" s="6"/>
      <c r="G4" s="6"/>
      <c r="H4" s="6"/>
      <c r="I4" s="6"/>
      <c r="J4" s="6"/>
      <c r="K4" s="6"/>
      <c r="L4" s="6"/>
      <c r="M4" s="6"/>
      <c r="N4" s="6"/>
      <c r="O4" s="6"/>
      <c r="V4" s="94" t="s">
        <v>482</v>
      </c>
    </row>
    <row r="5" spans="1:27" x14ac:dyDescent="0.25">
      <c r="V5" s="36"/>
    </row>
    <row r="6" spans="1:27" ht="15.75" customHeight="1" thickBot="1" x14ac:dyDescent="0.4">
      <c r="B6" s="389"/>
      <c r="C6" s="389"/>
      <c r="D6" s="548" t="s">
        <v>341</v>
      </c>
      <c r="E6" s="548"/>
      <c r="F6" s="548"/>
      <c r="G6" s="548"/>
      <c r="H6" s="548"/>
      <c r="I6" s="548"/>
      <c r="J6" s="548"/>
      <c r="K6" s="548"/>
      <c r="L6" s="548"/>
      <c r="M6" s="548"/>
      <c r="N6" s="548"/>
      <c r="O6" s="548"/>
      <c r="P6" s="548"/>
      <c r="Q6" s="548"/>
      <c r="R6" s="548"/>
      <c r="S6" s="548"/>
      <c r="T6" s="503" t="s">
        <v>385</v>
      </c>
      <c r="U6" s="503" t="s">
        <v>411</v>
      </c>
      <c r="V6" s="245" t="s">
        <v>228</v>
      </c>
      <c r="W6" s="549" t="s">
        <v>230</v>
      </c>
      <c r="X6" s="549"/>
      <c r="Y6" s="549"/>
      <c r="Z6" s="549"/>
      <c r="AA6" s="549"/>
    </row>
    <row r="7" spans="1:27" ht="100.5" customHeight="1" thickBot="1" x14ac:dyDescent="0.3">
      <c r="D7" s="210" t="s">
        <v>33</v>
      </c>
      <c r="E7" s="211" t="s">
        <v>34</v>
      </c>
      <c r="F7" s="211" t="s">
        <v>35</v>
      </c>
      <c r="G7" s="211" t="s">
        <v>36</v>
      </c>
      <c r="H7" s="211" t="s">
        <v>37</v>
      </c>
      <c r="I7" s="211" t="s">
        <v>38</v>
      </c>
      <c r="J7" s="211" t="s">
        <v>39</v>
      </c>
      <c r="K7" s="211" t="s">
        <v>40</v>
      </c>
      <c r="L7" s="211" t="s">
        <v>41</v>
      </c>
      <c r="M7" s="211" t="s">
        <v>42</v>
      </c>
      <c r="N7" s="211" t="s">
        <v>43</v>
      </c>
      <c r="O7" s="211" t="s">
        <v>44</v>
      </c>
      <c r="P7" s="211" t="s">
        <v>45</v>
      </c>
      <c r="Q7" s="211" t="s">
        <v>46</v>
      </c>
      <c r="R7" s="211" t="s">
        <v>47</v>
      </c>
      <c r="S7" s="211" t="s">
        <v>48</v>
      </c>
      <c r="T7" s="214" t="s">
        <v>383</v>
      </c>
      <c r="U7" s="401" t="s">
        <v>412</v>
      </c>
      <c r="V7" s="358"/>
      <c r="W7" s="213" t="s">
        <v>49</v>
      </c>
      <c r="X7" s="211" t="s">
        <v>50</v>
      </c>
      <c r="Y7" s="214" t="s">
        <v>25</v>
      </c>
      <c r="Z7" s="215" t="s">
        <v>51</v>
      </c>
      <c r="AA7" s="215" t="s">
        <v>52</v>
      </c>
    </row>
    <row r="8" spans="1:27" ht="15.75" customHeight="1" x14ac:dyDescent="0.25">
      <c r="A8" s="545"/>
      <c r="D8" s="402">
        <f>SUM(D9:D15)</f>
        <v>1542.1799999999998</v>
      </c>
      <c r="E8" s="359">
        <f t="shared" ref="E8:S8" si="0">SUM(E9:E15)</f>
        <v>90.71</v>
      </c>
      <c r="F8" s="359">
        <f t="shared" si="0"/>
        <v>1268764.51</v>
      </c>
      <c r="G8" s="359">
        <f t="shared" si="0"/>
        <v>0</v>
      </c>
      <c r="H8" s="359">
        <f t="shared" si="0"/>
        <v>609.66</v>
      </c>
      <c r="I8" s="359">
        <f t="shared" si="0"/>
        <v>735.08000000000015</v>
      </c>
      <c r="J8" s="359">
        <f t="shared" si="0"/>
        <v>102.42999999999999</v>
      </c>
      <c r="K8" s="359">
        <f t="shared" si="0"/>
        <v>4498.8900000000003</v>
      </c>
      <c r="L8" s="359">
        <f t="shared" si="0"/>
        <v>6843.78</v>
      </c>
      <c r="M8" s="359">
        <f t="shared" si="0"/>
        <v>391547.73</v>
      </c>
      <c r="N8" s="359">
        <f t="shared" si="0"/>
        <v>6174.9499999999989</v>
      </c>
      <c r="O8" s="359">
        <f t="shared" si="0"/>
        <v>4445.12</v>
      </c>
      <c r="P8" s="359">
        <f t="shared" si="0"/>
        <v>643643.79</v>
      </c>
      <c r="Q8" s="359">
        <f t="shared" si="0"/>
        <v>1474.59</v>
      </c>
      <c r="R8" s="359">
        <f t="shared" si="0"/>
        <v>4718.1000000000004</v>
      </c>
      <c r="S8" s="359">
        <f t="shared" si="0"/>
        <v>30098.929999999997</v>
      </c>
      <c r="T8" s="359"/>
      <c r="U8" s="403"/>
      <c r="V8" s="233" t="s">
        <v>53</v>
      </c>
      <c r="W8" s="360"/>
      <c r="X8" s="140">
        <v>2277.6170957302966</v>
      </c>
      <c r="Y8" s="140"/>
      <c r="Z8" s="361">
        <f t="shared" ref="Z8:Z15" si="1">AA8/SUM(D8:S8)</f>
        <v>2.4073334162093035E-2</v>
      </c>
      <c r="AA8" s="121">
        <f>X8*25+Y8*298</f>
        <v>56940.427393257414</v>
      </c>
    </row>
    <row r="9" spans="1:27" x14ac:dyDescent="0.25">
      <c r="A9" s="545"/>
      <c r="D9" s="148">
        <v>158.38</v>
      </c>
      <c r="E9" s="147">
        <v>0.82</v>
      </c>
      <c r="F9" s="147"/>
      <c r="G9" s="147"/>
      <c r="H9" s="147"/>
      <c r="I9" s="147"/>
      <c r="J9" s="147"/>
      <c r="K9" s="147">
        <v>218.9</v>
      </c>
      <c r="L9" s="147"/>
      <c r="M9" s="147"/>
      <c r="N9" s="147"/>
      <c r="O9" s="147">
        <v>186.63</v>
      </c>
      <c r="P9" s="147"/>
      <c r="Q9" s="147"/>
      <c r="R9" s="147">
        <v>306.86</v>
      </c>
      <c r="S9" s="147"/>
      <c r="T9" s="404"/>
      <c r="U9" s="405"/>
      <c r="V9" s="207" t="s">
        <v>54</v>
      </c>
      <c r="W9" s="362"/>
      <c r="X9" s="142">
        <v>8.2705345412988045</v>
      </c>
      <c r="Y9" s="142">
        <v>0.67055899671985719</v>
      </c>
      <c r="Z9" s="150">
        <f t="shared" si="1"/>
        <v>0.46649220912927819</v>
      </c>
      <c r="AA9" s="111">
        <f>X9*25+Y9*298</f>
        <v>406.5899445549876</v>
      </c>
    </row>
    <row r="10" spans="1:27" x14ac:dyDescent="0.25">
      <c r="A10" s="545"/>
      <c r="D10" s="116">
        <v>1366.68</v>
      </c>
      <c r="E10" s="130">
        <v>83.47</v>
      </c>
      <c r="F10" s="130">
        <v>0</v>
      </c>
      <c r="G10" s="130">
        <v>0</v>
      </c>
      <c r="H10" s="130"/>
      <c r="I10" s="130"/>
      <c r="J10" s="130"/>
      <c r="K10" s="130">
        <v>1814.42</v>
      </c>
      <c r="L10" s="130"/>
      <c r="M10" s="130">
        <v>8898.6299999999992</v>
      </c>
      <c r="N10" s="130">
        <v>6174.9499999999989</v>
      </c>
      <c r="O10" s="130">
        <v>4035.68</v>
      </c>
      <c r="P10" s="130">
        <v>0</v>
      </c>
      <c r="Q10" s="130">
        <v>1474.59</v>
      </c>
      <c r="R10" s="130">
        <v>213.87</v>
      </c>
      <c r="S10" s="130">
        <v>1149.6199999999999</v>
      </c>
      <c r="T10" s="131"/>
      <c r="U10" s="406"/>
      <c r="V10" s="207" t="s">
        <v>55</v>
      </c>
      <c r="W10" s="362"/>
      <c r="X10" s="142">
        <v>302.7918430680723</v>
      </c>
      <c r="Y10" s="142">
        <v>12.002552981647518</v>
      </c>
      <c r="Z10" s="150">
        <f t="shared" si="1"/>
        <v>0.44211473328410139</v>
      </c>
      <c r="AA10" s="111">
        <f t="shared" ref="AA10:AA16" si="2">X10*25+Y10*298</f>
        <v>11146.556865232767</v>
      </c>
    </row>
    <row r="11" spans="1:27" x14ac:dyDescent="0.25">
      <c r="A11" s="545"/>
      <c r="D11" s="132"/>
      <c r="E11" s="130"/>
      <c r="F11" s="130">
        <v>377.61</v>
      </c>
      <c r="G11" s="130"/>
      <c r="H11" s="130"/>
      <c r="I11" s="130"/>
      <c r="J11" s="130"/>
      <c r="K11" s="130"/>
      <c r="L11" s="130"/>
      <c r="M11" s="130"/>
      <c r="N11" s="130"/>
      <c r="O11" s="130"/>
      <c r="P11" s="130"/>
      <c r="Q11" s="130"/>
      <c r="R11" s="130"/>
      <c r="S11" s="130">
        <v>16.45</v>
      </c>
      <c r="T11" s="131"/>
      <c r="U11" s="406"/>
      <c r="V11" s="207" t="s">
        <v>56</v>
      </c>
      <c r="W11" s="362"/>
      <c r="X11" s="142">
        <v>1.0716766485031089E-2</v>
      </c>
      <c r="Y11" s="142">
        <v>2.060914247794286E-3</v>
      </c>
      <c r="Z11" s="150">
        <f t="shared" si="1"/>
        <v>2.2384195502422842E-3</v>
      </c>
      <c r="AA11" s="111">
        <f t="shared" si="2"/>
        <v>0.8820716079684745</v>
      </c>
    </row>
    <row r="12" spans="1:27" x14ac:dyDescent="0.25">
      <c r="A12" s="545"/>
      <c r="D12" s="132"/>
      <c r="E12" s="130"/>
      <c r="F12" s="130">
        <v>421.21</v>
      </c>
      <c r="G12" s="130">
        <v>0</v>
      </c>
      <c r="H12" s="130">
        <v>596.53</v>
      </c>
      <c r="I12" s="130"/>
      <c r="J12" s="130"/>
      <c r="K12" s="130"/>
      <c r="L12" s="130"/>
      <c r="M12" s="130">
        <v>1237.04</v>
      </c>
      <c r="N12" s="130"/>
      <c r="O12" s="130"/>
      <c r="P12" s="130">
        <v>868.63</v>
      </c>
      <c r="Q12" s="130"/>
      <c r="R12" s="130"/>
      <c r="S12" s="130"/>
      <c r="T12" s="131"/>
      <c r="U12" s="406"/>
      <c r="V12" s="207" t="s">
        <v>57</v>
      </c>
      <c r="W12" s="362"/>
      <c r="X12" s="142">
        <v>2.9088098740791226</v>
      </c>
      <c r="Y12" s="142">
        <v>4.1292212737474285E-2</v>
      </c>
      <c r="Z12" s="150">
        <f t="shared" si="1"/>
        <v>2.7221954929946886E-2</v>
      </c>
      <c r="AA12" s="111">
        <f t="shared" si="2"/>
        <v>85.025326247745397</v>
      </c>
    </row>
    <row r="13" spans="1:27" x14ac:dyDescent="0.25">
      <c r="A13" s="545"/>
      <c r="D13" s="132"/>
      <c r="E13" s="130"/>
      <c r="F13" s="130">
        <v>1267965.69</v>
      </c>
      <c r="G13" s="130"/>
      <c r="H13" s="130">
        <v>13.13</v>
      </c>
      <c r="I13" s="130">
        <v>735.08000000000015</v>
      </c>
      <c r="J13" s="130">
        <v>102.42999999999999</v>
      </c>
      <c r="K13" s="130"/>
      <c r="L13" s="130">
        <v>6843.78</v>
      </c>
      <c r="M13" s="130"/>
      <c r="N13" s="130"/>
      <c r="O13" s="130"/>
      <c r="P13" s="130"/>
      <c r="Q13" s="130"/>
      <c r="R13" s="130"/>
      <c r="S13" s="130"/>
      <c r="T13" s="131"/>
      <c r="U13" s="406"/>
      <c r="V13" s="207" t="s">
        <v>58</v>
      </c>
      <c r="W13" s="362"/>
      <c r="X13" s="142">
        <v>33.428345840924521</v>
      </c>
      <c r="Y13" s="142">
        <v>1.7192517604779709</v>
      </c>
      <c r="Z13" s="150">
        <f t="shared" si="1"/>
        <v>1.0567436106829024E-3</v>
      </c>
      <c r="AA13" s="111">
        <f t="shared" si="2"/>
        <v>1348.0456706455484</v>
      </c>
    </row>
    <row r="14" spans="1:27" x14ac:dyDescent="0.25">
      <c r="D14" s="116"/>
      <c r="E14" s="117">
        <v>0.03</v>
      </c>
      <c r="F14" s="117"/>
      <c r="G14" s="117">
        <v>0</v>
      </c>
      <c r="H14" s="117"/>
      <c r="I14" s="117"/>
      <c r="J14" s="117"/>
      <c r="K14" s="117">
        <v>267.24</v>
      </c>
      <c r="L14" s="117"/>
      <c r="M14" s="117">
        <v>381412.06</v>
      </c>
      <c r="N14" s="117"/>
      <c r="O14" s="117">
        <v>211.54999999999998</v>
      </c>
      <c r="P14" s="117">
        <v>642775.16</v>
      </c>
      <c r="Q14" s="117"/>
      <c r="R14" s="117"/>
      <c r="S14" s="117">
        <v>28932.859999999997</v>
      </c>
      <c r="T14" s="407"/>
      <c r="U14" s="408"/>
      <c r="V14" s="207" t="s">
        <v>59</v>
      </c>
      <c r="W14" s="113"/>
      <c r="X14" s="110">
        <v>706.64707134371849</v>
      </c>
      <c r="Y14" s="110">
        <v>34.753188323268176</v>
      </c>
      <c r="Z14" s="150">
        <f t="shared" si="1"/>
        <v>2.6597054062914148E-2</v>
      </c>
      <c r="AA14" s="111">
        <f t="shared" si="2"/>
        <v>28022.626903926881</v>
      </c>
    </row>
    <row r="15" spans="1:27" x14ac:dyDescent="0.25">
      <c r="D15" s="116">
        <v>17.12</v>
      </c>
      <c r="E15" s="117">
        <v>6.39</v>
      </c>
      <c r="F15" s="117"/>
      <c r="G15" s="117"/>
      <c r="H15" s="117"/>
      <c r="I15" s="117"/>
      <c r="J15" s="117"/>
      <c r="K15" s="117">
        <v>2198.33</v>
      </c>
      <c r="L15" s="117"/>
      <c r="M15" s="117"/>
      <c r="N15" s="117"/>
      <c r="O15" s="117">
        <v>11.26</v>
      </c>
      <c r="P15" s="117"/>
      <c r="Q15" s="117"/>
      <c r="R15" s="117">
        <v>4197.37</v>
      </c>
      <c r="S15" s="117"/>
      <c r="T15" s="407"/>
      <c r="U15" s="408"/>
      <c r="V15" s="207" t="s">
        <v>60</v>
      </c>
      <c r="W15" s="113"/>
      <c r="X15" s="110">
        <v>204.53810791172407</v>
      </c>
      <c r="Y15" s="110">
        <v>6.9487310565230018</v>
      </c>
      <c r="Z15" s="150">
        <f t="shared" si="1"/>
        <v>1.1172083148878629</v>
      </c>
      <c r="AA15" s="111">
        <f t="shared" si="2"/>
        <v>7184.1745526369559</v>
      </c>
    </row>
    <row r="16" spans="1:27" x14ac:dyDescent="0.25">
      <c r="D16" s="116"/>
      <c r="E16" s="117"/>
      <c r="F16" s="117"/>
      <c r="G16" s="117"/>
      <c r="H16" s="117"/>
      <c r="I16" s="117"/>
      <c r="J16" s="117"/>
      <c r="K16" s="117"/>
      <c r="L16" s="117"/>
      <c r="M16" s="117"/>
      <c r="N16" s="117"/>
      <c r="O16" s="117"/>
      <c r="P16" s="117"/>
      <c r="Q16" s="117"/>
      <c r="R16" s="117"/>
      <c r="S16" s="117"/>
      <c r="T16" s="409">
        <v>0</v>
      </c>
      <c r="U16" s="410"/>
      <c r="V16" s="396" t="s">
        <v>413</v>
      </c>
      <c r="W16" s="113"/>
      <c r="X16" s="110">
        <v>0</v>
      </c>
      <c r="Y16" s="110"/>
      <c r="Z16" s="150"/>
      <c r="AA16" s="111">
        <f t="shared" si="2"/>
        <v>0</v>
      </c>
    </row>
    <row r="17" spans="2:27" ht="14.4" thickBot="1" x14ac:dyDescent="0.3">
      <c r="D17" s="411"/>
      <c r="E17" s="383"/>
      <c r="F17" s="383"/>
      <c r="G17" s="383"/>
      <c r="H17" s="383"/>
      <c r="I17" s="383"/>
      <c r="J17" s="383"/>
      <c r="K17" s="383"/>
      <c r="L17" s="383"/>
      <c r="M17" s="383"/>
      <c r="N17" s="383"/>
      <c r="O17" s="383"/>
      <c r="P17" s="383"/>
      <c r="Q17" s="383"/>
      <c r="R17" s="383"/>
      <c r="S17" s="383"/>
      <c r="T17" s="412">
        <v>1812</v>
      </c>
      <c r="U17" s="413"/>
      <c r="V17" s="219" t="s">
        <v>414</v>
      </c>
      <c r="W17" s="123"/>
      <c r="X17" s="124">
        <v>-0.82780071459321403</v>
      </c>
      <c r="Y17" s="124"/>
      <c r="Z17" s="365"/>
      <c r="AA17" s="125">
        <f>X17*25+Y17*298</f>
        <v>-20.695017864830351</v>
      </c>
    </row>
    <row r="18" spans="2:27" ht="15.6" x14ac:dyDescent="0.35">
      <c r="D18" s="414"/>
      <c r="E18" s="415"/>
      <c r="F18" s="415"/>
      <c r="G18" s="415"/>
      <c r="H18" s="415"/>
      <c r="I18" s="415"/>
      <c r="J18" s="415"/>
      <c r="K18" s="415"/>
      <c r="L18" s="415"/>
      <c r="M18" s="415"/>
      <c r="N18" s="415"/>
      <c r="O18" s="415"/>
      <c r="P18" s="415"/>
      <c r="Q18" s="415"/>
      <c r="R18" s="415"/>
      <c r="S18" s="415"/>
      <c r="T18" s="416"/>
      <c r="U18" s="417">
        <v>345.61747314974315</v>
      </c>
      <c r="V18" s="233" t="s">
        <v>415</v>
      </c>
      <c r="W18" s="287"/>
      <c r="X18" s="120"/>
      <c r="Y18" s="120">
        <v>-6.2654175925247302E-2</v>
      </c>
      <c r="Z18" s="361"/>
      <c r="AA18" s="418">
        <f>X18*25+Y18*298</f>
        <v>-18.670944425723697</v>
      </c>
    </row>
    <row r="19" spans="2:27" ht="15.6" x14ac:dyDescent="0.35">
      <c r="D19" s="419"/>
      <c r="E19" s="420"/>
      <c r="F19" s="420"/>
      <c r="G19" s="420"/>
      <c r="H19" s="420"/>
      <c r="I19" s="420"/>
      <c r="J19" s="420"/>
      <c r="K19" s="420"/>
      <c r="L19" s="420"/>
      <c r="M19" s="420"/>
      <c r="N19" s="420"/>
      <c r="O19" s="420"/>
      <c r="P19" s="420"/>
      <c r="Q19" s="420"/>
      <c r="R19" s="420"/>
      <c r="S19" s="420"/>
      <c r="T19" s="421"/>
      <c r="U19" s="422">
        <v>237.42923076618609</v>
      </c>
      <c r="V19" s="314" t="s">
        <v>416</v>
      </c>
      <c r="W19" s="423"/>
      <c r="X19" s="424"/>
      <c r="Y19" s="424">
        <v>-3.4267804702446399E-2</v>
      </c>
      <c r="Z19" s="425"/>
      <c r="AA19" s="119">
        <f>X19*25+Y19*298</f>
        <v>-10.211805801329026</v>
      </c>
    </row>
    <row r="20" spans="2:27" ht="15.6" x14ac:dyDescent="0.35">
      <c r="D20" s="419"/>
      <c r="E20" s="420"/>
      <c r="F20" s="420"/>
      <c r="G20" s="420"/>
      <c r="H20" s="420"/>
      <c r="I20" s="420"/>
      <c r="J20" s="420"/>
      <c r="K20" s="420"/>
      <c r="L20" s="420"/>
      <c r="M20" s="420"/>
      <c r="N20" s="420"/>
      <c r="O20" s="420"/>
      <c r="P20" s="420"/>
      <c r="Q20" s="420"/>
      <c r="R20" s="420"/>
      <c r="S20" s="420"/>
      <c r="T20" s="421"/>
      <c r="U20" s="422">
        <v>0</v>
      </c>
      <c r="V20" s="314" t="s">
        <v>417</v>
      </c>
      <c r="W20" s="423"/>
      <c r="X20" s="424"/>
      <c r="Y20" s="424">
        <v>0</v>
      </c>
      <c r="Z20" s="425"/>
      <c r="AA20" s="119">
        <f>X20*25+Y20*298</f>
        <v>0</v>
      </c>
    </row>
    <row r="21" spans="2:27" ht="16.2" thickBot="1" x14ac:dyDescent="0.4">
      <c r="D21" s="363"/>
      <c r="E21" s="364"/>
      <c r="F21" s="364"/>
      <c r="G21" s="364"/>
      <c r="H21" s="364"/>
      <c r="I21" s="364"/>
      <c r="J21" s="364"/>
      <c r="K21" s="364"/>
      <c r="L21" s="364"/>
      <c r="M21" s="364"/>
      <c r="N21" s="364"/>
      <c r="O21" s="364"/>
      <c r="P21" s="364"/>
      <c r="Q21" s="364"/>
      <c r="R21" s="364"/>
      <c r="S21" s="364"/>
      <c r="T21" s="426"/>
      <c r="U21" s="427">
        <v>26.640478161921646</v>
      </c>
      <c r="V21" s="428" t="s">
        <v>418</v>
      </c>
      <c r="W21" s="366"/>
      <c r="X21" s="367"/>
      <c r="Y21" s="367">
        <v>-0.11407951905432499</v>
      </c>
      <c r="Z21" s="429"/>
      <c r="AA21" s="125">
        <f>X21*25+Y21*298</f>
        <v>-33.99569667818885</v>
      </c>
    </row>
    <row r="22" spans="2:27" ht="14.4" thickBot="1" x14ac:dyDescent="0.3">
      <c r="D22" s="246">
        <f t="shared" ref="D22:S22" si="3">SUM(D9:D15)</f>
        <v>1542.1799999999998</v>
      </c>
      <c r="E22" s="145">
        <f t="shared" si="3"/>
        <v>90.71</v>
      </c>
      <c r="F22" s="145">
        <f t="shared" si="3"/>
        <v>1268764.51</v>
      </c>
      <c r="G22" s="145">
        <f t="shared" si="3"/>
        <v>0</v>
      </c>
      <c r="H22" s="145">
        <f t="shared" si="3"/>
        <v>609.66</v>
      </c>
      <c r="I22" s="145">
        <f t="shared" si="3"/>
        <v>735.08000000000015</v>
      </c>
      <c r="J22" s="145">
        <f t="shared" si="3"/>
        <v>102.42999999999999</v>
      </c>
      <c r="K22" s="145">
        <f t="shared" si="3"/>
        <v>4498.8900000000003</v>
      </c>
      <c r="L22" s="145">
        <f t="shared" si="3"/>
        <v>6843.78</v>
      </c>
      <c r="M22" s="145">
        <f t="shared" si="3"/>
        <v>391547.73</v>
      </c>
      <c r="N22" s="145">
        <f t="shared" si="3"/>
        <v>6174.9499999999989</v>
      </c>
      <c r="O22" s="145">
        <f t="shared" si="3"/>
        <v>4445.12</v>
      </c>
      <c r="P22" s="145">
        <f t="shared" si="3"/>
        <v>643643.79</v>
      </c>
      <c r="Q22" s="145">
        <f t="shared" si="3"/>
        <v>1474.59</v>
      </c>
      <c r="R22" s="145">
        <f t="shared" si="3"/>
        <v>4718.1000000000004</v>
      </c>
      <c r="S22" s="145">
        <f t="shared" si="3"/>
        <v>30098.929999999997</v>
      </c>
      <c r="T22" s="145">
        <f>SUM(T16:T17)</f>
        <v>1812</v>
      </c>
      <c r="U22" s="145"/>
      <c r="V22" s="368" t="s">
        <v>61</v>
      </c>
      <c r="W22" s="367">
        <f>SUM(W8:W15)</f>
        <v>0</v>
      </c>
      <c r="X22" s="367">
        <f>SUM(X8:X17)</f>
        <v>3535.3847243620057</v>
      </c>
      <c r="Y22" s="367">
        <f>SUM(Y8:Y21)</f>
        <v>55.926634745939779</v>
      </c>
      <c r="Z22" s="369"/>
      <c r="AA22" s="370">
        <f>SUM(AA8:AA21)</f>
        <v>105050.75526334019</v>
      </c>
    </row>
    <row r="23" spans="2:27" x14ac:dyDescent="0.25">
      <c r="V23" s="36"/>
    </row>
    <row r="24" spans="2:27" ht="16.2" x14ac:dyDescent="0.35">
      <c r="B24" s="36" t="s">
        <v>335</v>
      </c>
      <c r="V24" s="36"/>
    </row>
    <row r="25" spans="2:27" x14ac:dyDescent="0.25">
      <c r="V25" s="36"/>
    </row>
    <row r="26" spans="2:27" x14ac:dyDescent="0.25">
      <c r="V26" s="36"/>
    </row>
    <row r="27" spans="2:27" x14ac:dyDescent="0.25">
      <c r="V27" s="36"/>
    </row>
    <row r="28" spans="2:27" x14ac:dyDescent="0.25">
      <c r="V28" s="36"/>
    </row>
    <row r="29" spans="2:27" x14ac:dyDescent="0.25">
      <c r="V29" s="36"/>
    </row>
    <row r="30" spans="2:27" x14ac:dyDescent="0.25">
      <c r="V30" s="36"/>
    </row>
    <row r="31" spans="2:27" x14ac:dyDescent="0.25">
      <c r="V31" s="36"/>
    </row>
    <row r="32" spans="2:27" x14ac:dyDescent="0.25">
      <c r="V32" s="36"/>
    </row>
    <row r="33" spans="22:22" x14ac:dyDescent="0.25">
      <c r="V33" s="36"/>
    </row>
    <row r="34" spans="22:22" x14ac:dyDescent="0.25">
      <c r="V34" s="36"/>
    </row>
    <row r="35" spans="22:22" x14ac:dyDescent="0.25">
      <c r="V35" s="36"/>
    </row>
    <row r="36" spans="22:22" x14ac:dyDescent="0.25">
      <c r="V36" s="36"/>
    </row>
    <row r="37" spans="22:22" x14ac:dyDescent="0.25">
      <c r="V37" s="36"/>
    </row>
    <row r="38" spans="22:22" x14ac:dyDescent="0.25">
      <c r="V38" s="36"/>
    </row>
    <row r="39" spans="22:22" x14ac:dyDescent="0.25">
      <c r="V39" s="36"/>
    </row>
    <row r="40" spans="22:22" x14ac:dyDescent="0.25">
      <c r="V40" s="36"/>
    </row>
    <row r="41" spans="22:22" x14ac:dyDescent="0.25">
      <c r="V41" s="36"/>
    </row>
    <row r="42" spans="22:22" x14ac:dyDescent="0.25">
      <c r="V42" s="36"/>
    </row>
    <row r="43" spans="22:22" x14ac:dyDescent="0.25">
      <c r="V43" s="36"/>
    </row>
    <row r="44" spans="22:22" x14ac:dyDescent="0.25">
      <c r="V44" s="36"/>
    </row>
    <row r="45" spans="22:22" x14ac:dyDescent="0.25">
      <c r="V45" s="36"/>
    </row>
    <row r="46" spans="22:22" x14ac:dyDescent="0.25">
      <c r="V46" s="36"/>
    </row>
    <row r="47" spans="22:22" x14ac:dyDescent="0.25">
      <c r="V47" s="36"/>
    </row>
    <row r="48" spans="22:22" x14ac:dyDescent="0.25">
      <c r="V48" s="36"/>
    </row>
    <row r="49" spans="22:22" x14ac:dyDescent="0.25">
      <c r="V49" s="36"/>
    </row>
    <row r="50" spans="22:22" x14ac:dyDescent="0.25">
      <c r="V50" s="36"/>
    </row>
    <row r="51" spans="22:22" x14ac:dyDescent="0.25">
      <c r="V51" s="36"/>
    </row>
    <row r="52" spans="22:22" x14ac:dyDescent="0.25">
      <c r="V52" s="36"/>
    </row>
    <row r="53" spans="22:22" x14ac:dyDescent="0.25">
      <c r="V53" s="36"/>
    </row>
    <row r="54" spans="22:22" x14ac:dyDescent="0.25">
      <c r="V54" s="36"/>
    </row>
    <row r="55" spans="22:22" x14ac:dyDescent="0.25">
      <c r="V55" s="36"/>
    </row>
    <row r="56" spans="22:22" x14ac:dyDescent="0.25">
      <c r="V56" s="36"/>
    </row>
    <row r="57" spans="22:22" x14ac:dyDescent="0.25">
      <c r="V57" s="36"/>
    </row>
    <row r="58" spans="22:22" x14ac:dyDescent="0.25">
      <c r="V58" s="36"/>
    </row>
    <row r="59" spans="22:22" x14ac:dyDescent="0.25">
      <c r="V59" s="36"/>
    </row>
    <row r="60" spans="22:22" x14ac:dyDescent="0.25">
      <c r="V60" s="36"/>
    </row>
    <row r="61" spans="22:22" x14ac:dyDescent="0.25">
      <c r="V61" s="36"/>
    </row>
    <row r="62" spans="22:22" x14ac:dyDescent="0.25">
      <c r="V62" s="36"/>
    </row>
    <row r="63" spans="22:22" x14ac:dyDescent="0.25">
      <c r="V63" s="36"/>
    </row>
    <row r="64" spans="22:22" x14ac:dyDescent="0.25">
      <c r="V64" s="36"/>
    </row>
    <row r="65" spans="22:22" x14ac:dyDescent="0.25">
      <c r="V65" s="36"/>
    </row>
    <row r="66" spans="22:22" x14ac:dyDescent="0.25">
      <c r="V66" s="36"/>
    </row>
    <row r="67" spans="22:22" x14ac:dyDescent="0.25">
      <c r="V67" s="36"/>
    </row>
    <row r="68" spans="22:22" x14ac:dyDescent="0.25">
      <c r="V68" s="36"/>
    </row>
    <row r="69" spans="22:22" x14ac:dyDescent="0.25">
      <c r="V69" s="36"/>
    </row>
    <row r="70" spans="22:22" x14ac:dyDescent="0.25">
      <c r="V70" s="36"/>
    </row>
    <row r="71" spans="22:22" x14ac:dyDescent="0.25">
      <c r="V71" s="36"/>
    </row>
    <row r="72" spans="22:22" x14ac:dyDescent="0.25">
      <c r="V72" s="36"/>
    </row>
    <row r="73" spans="22:22" x14ac:dyDescent="0.25">
      <c r="V73" s="36"/>
    </row>
    <row r="74" spans="22:22" x14ac:dyDescent="0.25">
      <c r="V74" s="36"/>
    </row>
    <row r="75" spans="22:22" x14ac:dyDescent="0.25">
      <c r="V75" s="36"/>
    </row>
    <row r="76" spans="22:22" x14ac:dyDescent="0.25">
      <c r="V76" s="36"/>
    </row>
    <row r="77" spans="22:22" x14ac:dyDescent="0.25">
      <c r="V77" s="36"/>
    </row>
    <row r="78" spans="22:22" x14ac:dyDescent="0.25">
      <c r="V78" s="36"/>
    </row>
    <row r="79" spans="22:22" x14ac:dyDescent="0.25">
      <c r="V79" s="36"/>
    </row>
    <row r="80" spans="22:22" x14ac:dyDescent="0.25">
      <c r="V80" s="36"/>
    </row>
    <row r="81" spans="22:22" x14ac:dyDescent="0.25">
      <c r="V81" s="36"/>
    </row>
    <row r="82" spans="22:22" x14ac:dyDescent="0.25">
      <c r="V82" s="36"/>
    </row>
    <row r="83" spans="22:22" x14ac:dyDescent="0.25">
      <c r="V83" s="36"/>
    </row>
    <row r="84" spans="22:22" x14ac:dyDescent="0.25">
      <c r="V84" s="36"/>
    </row>
    <row r="85" spans="22:22" x14ac:dyDescent="0.25">
      <c r="V85" s="36"/>
    </row>
    <row r="86" spans="22:22" x14ac:dyDescent="0.25">
      <c r="V86" s="36"/>
    </row>
    <row r="87" spans="22:22" x14ac:dyDescent="0.25">
      <c r="V87" s="36"/>
    </row>
    <row r="88" spans="22:22" x14ac:dyDescent="0.25">
      <c r="V88" s="36"/>
    </row>
    <row r="89" spans="22:22" x14ac:dyDescent="0.25">
      <c r="V89" s="36"/>
    </row>
    <row r="90" spans="22:22" x14ac:dyDescent="0.25">
      <c r="V90" s="36"/>
    </row>
    <row r="91" spans="22:22" x14ac:dyDescent="0.25">
      <c r="V91" s="36"/>
    </row>
    <row r="92" spans="22:22" x14ac:dyDescent="0.25">
      <c r="V92" s="36"/>
    </row>
    <row r="93" spans="22:22" x14ac:dyDescent="0.25">
      <c r="V93" s="36"/>
    </row>
    <row r="94" spans="22:22" x14ac:dyDescent="0.25">
      <c r="V94" s="36"/>
    </row>
    <row r="95" spans="22:22" x14ac:dyDescent="0.25">
      <c r="V95" s="36"/>
    </row>
    <row r="96" spans="22:22" x14ac:dyDescent="0.25">
      <c r="V96" s="36"/>
    </row>
    <row r="97" spans="22:22" x14ac:dyDescent="0.25">
      <c r="V97" s="36"/>
    </row>
    <row r="98" spans="22:22" x14ac:dyDescent="0.25">
      <c r="V98" s="36"/>
    </row>
    <row r="99" spans="22:22" x14ac:dyDescent="0.25">
      <c r="V99" s="36"/>
    </row>
    <row r="100" spans="22:22" x14ac:dyDescent="0.25">
      <c r="V100" s="36"/>
    </row>
    <row r="101" spans="22:22" x14ac:dyDescent="0.25">
      <c r="V101" s="36"/>
    </row>
    <row r="102" spans="22:22" x14ac:dyDescent="0.25">
      <c r="V102" s="36"/>
    </row>
    <row r="103" spans="22:22" x14ac:dyDescent="0.25">
      <c r="V103" s="36"/>
    </row>
    <row r="104" spans="22:22" x14ac:dyDescent="0.25">
      <c r="V104" s="36"/>
    </row>
    <row r="105" spans="22:22" x14ac:dyDescent="0.25">
      <c r="V105" s="36"/>
    </row>
    <row r="106" spans="22:22" x14ac:dyDescent="0.25">
      <c r="V106" s="36"/>
    </row>
    <row r="107" spans="22:22" x14ac:dyDescent="0.25">
      <c r="V107" s="36"/>
    </row>
    <row r="108" spans="22:22" x14ac:dyDescent="0.25">
      <c r="V108" s="36"/>
    </row>
    <row r="109" spans="22:22" x14ac:dyDescent="0.25">
      <c r="V109" s="36"/>
    </row>
    <row r="110" spans="22:22" x14ac:dyDescent="0.25">
      <c r="V110" s="36"/>
    </row>
    <row r="111" spans="22:22" x14ac:dyDescent="0.25">
      <c r="V111" s="36"/>
    </row>
    <row r="112" spans="22:22" x14ac:dyDescent="0.25">
      <c r="V112" s="36"/>
    </row>
    <row r="113" spans="22:22" x14ac:dyDescent="0.25">
      <c r="V113" s="36"/>
    </row>
    <row r="114" spans="22:22" x14ac:dyDescent="0.25">
      <c r="V114" s="36"/>
    </row>
    <row r="115" spans="22:22" x14ac:dyDescent="0.25">
      <c r="V115" s="36"/>
    </row>
    <row r="116" spans="22:22" x14ac:dyDescent="0.25">
      <c r="V116" s="36"/>
    </row>
    <row r="117" spans="22:22" x14ac:dyDescent="0.25">
      <c r="V117" s="36"/>
    </row>
    <row r="118" spans="22:22" x14ac:dyDescent="0.25">
      <c r="V118" s="36"/>
    </row>
    <row r="119" spans="22:22" x14ac:dyDescent="0.25">
      <c r="V119" s="36"/>
    </row>
    <row r="120" spans="22:22" x14ac:dyDescent="0.25">
      <c r="V120" s="36"/>
    </row>
    <row r="121" spans="22:22" x14ac:dyDescent="0.25">
      <c r="V121" s="36"/>
    </row>
    <row r="122" spans="22:22" x14ac:dyDescent="0.25">
      <c r="V122" s="36"/>
    </row>
    <row r="123" spans="22:22" x14ac:dyDescent="0.25">
      <c r="V123" s="36"/>
    </row>
    <row r="124" spans="22:22" x14ac:dyDescent="0.25">
      <c r="V124" s="36"/>
    </row>
    <row r="125" spans="22:22" x14ac:dyDescent="0.25">
      <c r="V125" s="36"/>
    </row>
    <row r="126" spans="22:22" x14ac:dyDescent="0.25">
      <c r="V126" s="36"/>
    </row>
    <row r="127" spans="22:22" x14ac:dyDescent="0.25">
      <c r="V127" s="36"/>
    </row>
    <row r="128" spans="22:22" x14ac:dyDescent="0.25">
      <c r="V128" s="36"/>
    </row>
    <row r="129" spans="22:22" x14ac:dyDescent="0.25">
      <c r="V129" s="36"/>
    </row>
    <row r="130" spans="22:22" x14ac:dyDescent="0.25">
      <c r="V130" s="36"/>
    </row>
    <row r="131" spans="22:22" x14ac:dyDescent="0.25">
      <c r="V131" s="36"/>
    </row>
    <row r="132" spans="22:22" x14ac:dyDescent="0.25">
      <c r="V132" s="36"/>
    </row>
    <row r="133" spans="22:22" x14ac:dyDescent="0.25">
      <c r="V133" s="36"/>
    </row>
    <row r="134" spans="22:22" x14ac:dyDescent="0.25">
      <c r="V134" s="36"/>
    </row>
    <row r="135" spans="22:22" x14ac:dyDescent="0.25">
      <c r="V135" s="36"/>
    </row>
    <row r="136" spans="22:22" x14ac:dyDescent="0.25">
      <c r="V136" s="36"/>
    </row>
    <row r="137" spans="22:22" x14ac:dyDescent="0.25">
      <c r="V137" s="36"/>
    </row>
    <row r="138" spans="22:22" x14ac:dyDescent="0.25">
      <c r="V138" s="36"/>
    </row>
    <row r="139" spans="22:22" x14ac:dyDescent="0.25">
      <c r="V139" s="36"/>
    </row>
    <row r="140" spans="22:22" x14ac:dyDescent="0.25">
      <c r="V140" s="36"/>
    </row>
    <row r="141" spans="22:22" x14ac:dyDescent="0.25">
      <c r="V141" s="36"/>
    </row>
    <row r="142" spans="22:22" x14ac:dyDescent="0.25">
      <c r="V142" s="36"/>
    </row>
    <row r="143" spans="22:22" x14ac:dyDescent="0.25">
      <c r="V143" s="36"/>
    </row>
    <row r="144" spans="22:22" x14ac:dyDescent="0.25">
      <c r="V144" s="36"/>
    </row>
    <row r="145" spans="22:22" x14ac:dyDescent="0.25">
      <c r="V145" s="36"/>
    </row>
    <row r="146" spans="22:22" x14ac:dyDescent="0.25">
      <c r="V146" s="36"/>
    </row>
    <row r="147" spans="22:22" x14ac:dyDescent="0.25">
      <c r="V147" s="36"/>
    </row>
    <row r="148" spans="22:22" x14ac:dyDescent="0.25">
      <c r="V148" s="36"/>
    </row>
    <row r="149" spans="22:22" x14ac:dyDescent="0.25">
      <c r="V149" s="36"/>
    </row>
    <row r="150" spans="22:22" x14ac:dyDescent="0.25">
      <c r="V150" s="36"/>
    </row>
    <row r="151" spans="22:22" x14ac:dyDescent="0.25">
      <c r="V151" s="36"/>
    </row>
    <row r="152" spans="22:22" x14ac:dyDescent="0.25">
      <c r="V152" s="36"/>
    </row>
    <row r="153" spans="22:22" x14ac:dyDescent="0.25">
      <c r="V153" s="36"/>
    </row>
    <row r="154" spans="22:22" x14ac:dyDescent="0.25">
      <c r="V154" s="36"/>
    </row>
    <row r="155" spans="22:22" x14ac:dyDescent="0.25">
      <c r="V155" s="36"/>
    </row>
    <row r="156" spans="22:22" x14ac:dyDescent="0.25">
      <c r="V156" s="36"/>
    </row>
    <row r="157" spans="22:22" x14ac:dyDescent="0.25">
      <c r="V157" s="36"/>
    </row>
    <row r="158" spans="22:22" x14ac:dyDescent="0.25">
      <c r="V158" s="36"/>
    </row>
    <row r="159" spans="22:22" x14ac:dyDescent="0.25">
      <c r="V159" s="36"/>
    </row>
    <row r="160" spans="22:22" x14ac:dyDescent="0.25">
      <c r="V160" s="36"/>
    </row>
    <row r="161" spans="22:22" x14ac:dyDescent="0.25">
      <c r="V161" s="36"/>
    </row>
    <row r="162" spans="22:22" x14ac:dyDescent="0.25">
      <c r="V162" s="36"/>
    </row>
    <row r="163" spans="22:22" x14ac:dyDescent="0.25">
      <c r="V163" s="36"/>
    </row>
    <row r="164" spans="22:22" x14ac:dyDescent="0.25">
      <c r="V164" s="36"/>
    </row>
    <row r="165" spans="22:22" x14ac:dyDescent="0.25">
      <c r="V165" s="36"/>
    </row>
    <row r="166" spans="22:22" x14ac:dyDescent="0.25">
      <c r="V166" s="36"/>
    </row>
    <row r="167" spans="22:22" x14ac:dyDescent="0.25">
      <c r="V167" s="36"/>
    </row>
    <row r="168" spans="22:22" x14ac:dyDescent="0.25">
      <c r="V168" s="36"/>
    </row>
    <row r="169" spans="22:22" x14ac:dyDescent="0.25">
      <c r="V169" s="36"/>
    </row>
    <row r="170" spans="22:22" x14ac:dyDescent="0.25">
      <c r="V170" s="36"/>
    </row>
    <row r="171" spans="22:22" x14ac:dyDescent="0.25">
      <c r="V171" s="36"/>
    </row>
    <row r="172" spans="22:22" x14ac:dyDescent="0.25">
      <c r="V172" s="36"/>
    </row>
    <row r="173" spans="22:22" x14ac:dyDescent="0.25">
      <c r="V173" s="36"/>
    </row>
    <row r="174" spans="22:22" x14ac:dyDescent="0.25">
      <c r="V174" s="36"/>
    </row>
    <row r="175" spans="22:22" x14ac:dyDescent="0.25">
      <c r="V175" s="36"/>
    </row>
    <row r="176" spans="22:22" x14ac:dyDescent="0.25">
      <c r="V176" s="36"/>
    </row>
    <row r="177" spans="1:27" x14ac:dyDescent="0.25">
      <c r="V177" s="36"/>
    </row>
    <row r="178" spans="1:27" x14ac:dyDescent="0.25">
      <c r="V178" s="36"/>
    </row>
    <row r="179" spans="1:27" x14ac:dyDescent="0.25">
      <c r="V179" s="36"/>
    </row>
    <row r="180" spans="1:27" x14ac:dyDescent="0.25">
      <c r="V180" s="36"/>
    </row>
    <row r="181" spans="1:27" ht="14.4" thickBot="1" x14ac:dyDescent="0.3">
      <c r="V181" s="36"/>
    </row>
    <row r="182" spans="1:27" ht="14.4" thickBot="1" x14ac:dyDescent="0.3">
      <c r="A182" s="536" t="s">
        <v>62</v>
      </c>
      <c r="B182" s="539" t="s">
        <v>63</v>
      </c>
      <c r="C182" s="540"/>
      <c r="D182" s="540"/>
      <c r="E182" s="540"/>
      <c r="F182" s="540"/>
      <c r="G182" s="540"/>
      <c r="H182" s="540"/>
      <c r="I182" s="540"/>
      <c r="J182" s="540"/>
      <c r="K182" s="540"/>
      <c r="L182" s="540"/>
      <c r="M182" s="540"/>
      <c r="N182" s="540"/>
      <c r="O182" s="540"/>
      <c r="P182" s="540"/>
      <c r="Q182" s="540"/>
      <c r="R182" s="540"/>
      <c r="S182" s="540"/>
      <c r="T182" s="540"/>
      <c r="U182" s="540"/>
      <c r="V182" s="540"/>
      <c r="W182" s="540"/>
      <c r="X182" s="540"/>
      <c r="Y182" s="540"/>
      <c r="Z182" s="540"/>
      <c r="AA182" s="541"/>
    </row>
    <row r="183" spans="1:27" ht="14.4" thickBot="1" x14ac:dyDescent="0.3">
      <c r="A183" s="537"/>
      <c r="B183" s="1"/>
      <c r="C183" s="2"/>
      <c r="D183" s="3"/>
      <c r="E183" s="2"/>
      <c r="F183" s="2"/>
      <c r="G183" s="2"/>
      <c r="H183" s="2"/>
      <c r="I183" s="2"/>
      <c r="J183" s="2"/>
      <c r="K183" s="2"/>
      <c r="L183" s="2"/>
      <c r="M183" s="2"/>
      <c r="N183" s="2"/>
      <c r="O183" s="2"/>
      <c r="P183" s="2"/>
      <c r="Q183" s="2"/>
      <c r="R183" s="2"/>
      <c r="S183" s="4"/>
      <c r="T183" s="352"/>
      <c r="U183" s="352"/>
      <c r="V183" s="49" t="s">
        <v>64</v>
      </c>
      <c r="W183" s="247"/>
      <c r="X183" s="248"/>
      <c r="Y183" s="249"/>
      <c r="Z183" s="50"/>
      <c r="AA183" s="51"/>
    </row>
    <row r="184" spans="1:27" x14ac:dyDescent="0.25">
      <c r="A184" s="537"/>
      <c r="B184" s="52"/>
      <c r="C184" s="250"/>
      <c r="D184" s="251"/>
      <c r="E184" s="250"/>
      <c r="F184" s="250"/>
      <c r="G184" s="250"/>
      <c r="H184" s="250"/>
      <c r="I184" s="250"/>
      <c r="J184" s="250"/>
      <c r="K184" s="250"/>
      <c r="L184" s="250"/>
      <c r="M184" s="250"/>
      <c r="N184" s="250"/>
      <c r="O184" s="250"/>
      <c r="P184" s="250"/>
      <c r="Q184" s="250"/>
      <c r="R184" s="250"/>
      <c r="S184" s="252"/>
      <c r="T184" s="353"/>
      <c r="U184" s="353"/>
      <c r="V184" s="53" t="s">
        <v>65</v>
      </c>
      <c r="W184" s="253"/>
      <c r="X184" s="254"/>
      <c r="Y184" s="255"/>
      <c r="Z184" s="54"/>
      <c r="AA184" s="55"/>
    </row>
    <row r="185" spans="1:27" x14ac:dyDescent="0.25">
      <c r="A185" s="537"/>
      <c r="B185" s="256"/>
      <c r="C185" s="257"/>
      <c r="D185" s="258"/>
      <c r="E185" s="257"/>
      <c r="F185" s="257"/>
      <c r="G185" s="257"/>
      <c r="H185" s="257"/>
      <c r="I185" s="257"/>
      <c r="J185" s="257"/>
      <c r="K185" s="257"/>
      <c r="L185" s="257"/>
      <c r="M185" s="257"/>
      <c r="N185" s="257"/>
      <c r="O185" s="257"/>
      <c r="P185" s="257"/>
      <c r="Q185" s="257"/>
      <c r="R185" s="257"/>
      <c r="S185" s="259"/>
      <c r="T185" s="354"/>
      <c r="U185" s="354"/>
      <c r="V185" s="56" t="s">
        <v>66</v>
      </c>
      <c r="W185" s="260"/>
      <c r="X185" s="261"/>
      <c r="Y185" s="262"/>
      <c r="Z185" s="57"/>
      <c r="AA185" s="51"/>
    </row>
    <row r="186" spans="1:27" ht="14.4" thickBot="1" x14ac:dyDescent="0.3">
      <c r="A186" s="537"/>
      <c r="B186" s="263"/>
      <c r="C186" s="264"/>
      <c r="D186" s="265"/>
      <c r="E186" s="264"/>
      <c r="F186" s="264"/>
      <c r="G186" s="264"/>
      <c r="H186" s="264"/>
      <c r="I186" s="264"/>
      <c r="J186" s="264"/>
      <c r="K186" s="264"/>
      <c r="L186" s="264"/>
      <c r="M186" s="264"/>
      <c r="N186" s="264"/>
      <c r="O186" s="264"/>
      <c r="P186" s="264"/>
      <c r="Q186" s="264"/>
      <c r="R186" s="264"/>
      <c r="S186" s="266"/>
      <c r="T186" s="355"/>
      <c r="U186" s="355"/>
      <c r="V186" s="58" t="s">
        <v>67</v>
      </c>
      <c r="W186" s="267"/>
      <c r="X186" s="268"/>
      <c r="Y186" s="269"/>
      <c r="Z186" s="59"/>
      <c r="AA186" s="60"/>
    </row>
    <row r="187" spans="1:27" ht="14.4" thickBot="1" x14ac:dyDescent="0.3">
      <c r="A187" s="538"/>
      <c r="B187" s="270"/>
      <c r="C187" s="271"/>
      <c r="D187" s="272"/>
      <c r="E187" s="271"/>
      <c r="F187" s="271"/>
      <c r="G187" s="271"/>
      <c r="H187" s="271"/>
      <c r="I187" s="271"/>
      <c r="J187" s="271"/>
      <c r="K187" s="271"/>
      <c r="L187" s="271"/>
      <c r="M187" s="271"/>
      <c r="N187" s="271"/>
      <c r="O187" s="271"/>
      <c r="P187" s="271"/>
      <c r="Q187" s="271"/>
      <c r="R187" s="271"/>
      <c r="S187" s="273"/>
      <c r="T187" s="356"/>
      <c r="U187" s="356"/>
      <c r="V187" s="61" t="s">
        <v>68</v>
      </c>
      <c r="W187" s="274"/>
      <c r="X187" s="275"/>
      <c r="Y187" s="276"/>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1"/>
  <sheetViews>
    <sheetView zoomScale="85" zoomScaleNormal="85" workbookViewId="0">
      <selection activeCell="AG8" sqref="AG8"/>
    </sheetView>
  </sheetViews>
  <sheetFormatPr defaultColWidth="8.6640625" defaultRowHeight="13.8" x14ac:dyDescent="0.25"/>
  <cols>
    <col min="1" max="5" width="8.6640625" style="36"/>
    <col min="6" max="6" width="11.109375" style="36" customWidth="1"/>
    <col min="7" max="16" width="8.6640625" style="36"/>
    <col min="17" max="17" width="9" style="36" customWidth="1"/>
    <col min="18" max="20" width="8.6640625" style="36" hidden="1" customWidth="1"/>
    <col min="21" max="21" width="5.6640625" style="36" hidden="1" customWidth="1"/>
    <col min="22" max="22" width="7" style="36" hidden="1" customWidth="1"/>
    <col min="23" max="25" width="8.6640625" style="36"/>
    <col min="26" max="26" width="36.44140625" style="46" customWidth="1"/>
    <col min="27" max="27" width="12.6640625" style="36" customWidth="1"/>
    <col min="28" max="28" width="8.6640625" style="36"/>
    <col min="29" max="29" width="13.5546875" style="37" bestFit="1" customWidth="1"/>
    <col min="30" max="30" width="12.33203125" style="36" bestFit="1" customWidth="1"/>
    <col min="31" max="31" width="14.44140625" style="38" customWidth="1"/>
    <col min="32" max="36" width="9.33203125" style="36" customWidth="1"/>
    <col min="37" max="42" width="9.33203125" style="36" hidden="1" customWidth="1"/>
    <col min="43" max="43" width="14" style="36" hidden="1" customWidth="1"/>
    <col min="44" max="50" width="9.33203125" style="36" customWidth="1"/>
    <col min="51" max="16384" width="8.6640625" style="46"/>
  </cols>
  <sheetData>
    <row r="1" spans="1:43" s="36" customFormat="1" ht="14.4" thickBot="1" x14ac:dyDescent="0.3">
      <c r="AC1" s="37"/>
      <c r="AE1" s="38"/>
    </row>
    <row r="2" spans="1:43" s="36" customFormat="1" ht="15.6" x14ac:dyDescent="0.25">
      <c r="B2" s="555" t="s">
        <v>0</v>
      </c>
      <c r="C2" s="556"/>
      <c r="D2" s="556"/>
      <c r="E2" s="556"/>
      <c r="F2" s="221">
        <v>2018</v>
      </c>
      <c r="Z2" s="39" t="s">
        <v>69</v>
      </c>
      <c r="AC2" s="37"/>
      <c r="AE2" s="38"/>
    </row>
    <row r="3" spans="1:43" s="36" customFormat="1" ht="28.8" thickBot="1" x14ac:dyDescent="0.4">
      <c r="B3" s="546" t="s">
        <v>233</v>
      </c>
      <c r="C3" s="547"/>
      <c r="D3" s="223" t="s">
        <v>398</v>
      </c>
      <c r="E3" s="224" t="s">
        <v>275</v>
      </c>
      <c r="F3" s="225" t="s">
        <v>399</v>
      </c>
      <c r="Z3" s="44" t="s">
        <v>1</v>
      </c>
      <c r="AC3" s="37"/>
      <c r="AE3" s="38"/>
    </row>
    <row r="4" spans="1:43" s="36" customFormat="1" ht="20.399999999999999" x14ac:dyDescent="0.25">
      <c r="L4" s="47"/>
      <c r="Z4" s="385" t="s">
        <v>483</v>
      </c>
      <c r="AC4" s="37"/>
      <c r="AE4" s="38"/>
    </row>
    <row r="5" spans="1:43" s="36" customFormat="1" x14ac:dyDescent="0.25">
      <c r="B5" s="6"/>
      <c r="C5" s="6"/>
      <c r="D5" s="6"/>
      <c r="E5" s="226"/>
      <c r="F5" s="6"/>
      <c r="AC5" s="37"/>
      <c r="AE5" s="38"/>
    </row>
    <row r="6" spans="1:43" s="36" customFormat="1" ht="21" customHeight="1" x14ac:dyDescent="0.5">
      <c r="B6" s="6"/>
      <c r="C6" s="227"/>
      <c r="D6" s="228"/>
      <c r="E6" s="226"/>
      <c r="F6" s="6"/>
      <c r="AC6" s="37"/>
      <c r="AE6" s="38"/>
    </row>
    <row r="7" spans="1:43" s="36" customFormat="1" ht="16.2" thickBot="1" x14ac:dyDescent="0.4">
      <c r="B7" s="549" t="s">
        <v>400</v>
      </c>
      <c r="C7" s="549"/>
      <c r="D7" s="549"/>
      <c r="E7" s="549"/>
      <c r="F7" s="549"/>
      <c r="G7" s="549"/>
      <c r="H7" s="549"/>
      <c r="I7" s="549"/>
      <c r="J7" s="549"/>
      <c r="K7" s="549"/>
      <c r="L7" s="549"/>
      <c r="M7" s="549"/>
      <c r="N7" s="549"/>
      <c r="O7" s="549"/>
      <c r="P7" s="549"/>
      <c r="Q7" s="549"/>
      <c r="R7" s="549"/>
      <c r="S7" s="549"/>
      <c r="T7" s="549"/>
      <c r="U7" s="549"/>
      <c r="V7" s="549"/>
      <c r="W7" s="549"/>
      <c r="X7" s="549"/>
      <c r="Y7" s="549"/>
      <c r="Z7" s="94" t="s">
        <v>228</v>
      </c>
      <c r="AA7" s="549" t="s">
        <v>230</v>
      </c>
      <c r="AB7" s="549"/>
      <c r="AC7" s="549"/>
      <c r="AD7" s="549"/>
      <c r="AE7" s="549"/>
    </row>
    <row r="8" spans="1:43" s="36" customFormat="1" ht="293.39999999999998" x14ac:dyDescent="0.25">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303</v>
      </c>
      <c r="X8" s="106" t="s">
        <v>23</v>
      </c>
      <c r="Y8" s="105" t="s">
        <v>280</v>
      </c>
      <c r="Z8" s="45"/>
      <c r="AA8" s="216" t="s">
        <v>24</v>
      </c>
      <c r="AB8" s="101" t="s">
        <v>236</v>
      </c>
      <c r="AC8" s="217" t="s">
        <v>25</v>
      </c>
      <c r="AD8" s="101" t="s">
        <v>26</v>
      </c>
      <c r="AE8" s="218" t="s">
        <v>27</v>
      </c>
    </row>
    <row r="9" spans="1:43" s="36" customFormat="1" ht="14.7" customHeight="1" thickBot="1" x14ac:dyDescent="0.3">
      <c r="A9" s="229"/>
      <c r="B9" s="557" t="s">
        <v>374</v>
      </c>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9"/>
      <c r="AK9" s="36" t="s">
        <v>305</v>
      </c>
    </row>
    <row r="10" spans="1:43" s="36" customFormat="1" ht="14.7" customHeight="1" x14ac:dyDescent="0.3">
      <c r="A10" s="229"/>
      <c r="B10" s="113">
        <v>11326.6</v>
      </c>
      <c r="C10" s="110">
        <v>572.54</v>
      </c>
      <c r="D10" s="110">
        <v>2459.4900000000002</v>
      </c>
      <c r="E10" s="110">
        <v>2774.61</v>
      </c>
      <c r="F10" s="110">
        <v>13191.73</v>
      </c>
      <c r="G10" s="110">
        <v>1572.08</v>
      </c>
      <c r="H10" s="110">
        <v>636.45000000000005</v>
      </c>
      <c r="I10" s="110">
        <v>334.58000000000004</v>
      </c>
      <c r="J10" s="110">
        <v>183.07999999999998</v>
      </c>
      <c r="K10" s="110">
        <v>11.27</v>
      </c>
      <c r="L10" s="110">
        <v>1332.2199999999998</v>
      </c>
      <c r="M10" s="110">
        <v>60.96</v>
      </c>
      <c r="N10" s="110">
        <v>1239.0899999999999</v>
      </c>
      <c r="O10" s="110">
        <v>4689.96</v>
      </c>
      <c r="P10" s="110">
        <v>3237.8900000000003</v>
      </c>
      <c r="Q10" s="110">
        <v>4070.82</v>
      </c>
      <c r="R10" s="110"/>
      <c r="S10" s="110"/>
      <c r="T10" s="110"/>
      <c r="U10" s="110"/>
      <c r="V10" s="110"/>
      <c r="W10" s="110"/>
      <c r="X10" s="110"/>
      <c r="Y10" s="110"/>
      <c r="Z10" s="207" t="s">
        <v>28</v>
      </c>
      <c r="AA10" s="110"/>
      <c r="AB10" s="110"/>
      <c r="AC10" s="110">
        <f>(B10*AQ10+C10*AQ11+D10*AQ12+E10*AQ13+F10*AQ14+G10*AQ15+H10*AQ16+I10*AQ17+J10*AQ18+K10*AQ19+L10*AQ20+M10*AQ21+N10*AQ22+O10*AQ23+P10*AQ24)*0.01*44/28</f>
        <v>33.713380646738777</v>
      </c>
      <c r="AD10" s="110"/>
      <c r="AE10" s="111">
        <f>AC10*298</f>
        <v>10046.587432728156</v>
      </c>
      <c r="AG10" s="38"/>
      <c r="AK10" s="553" t="s">
        <v>287</v>
      </c>
      <c r="AL10" s="554"/>
      <c r="AM10" s="554"/>
      <c r="AN10" s="554"/>
      <c r="AO10" s="554"/>
      <c r="AP10" s="554"/>
      <c r="AQ10" s="386">
        <v>4.8758144999999996E-2</v>
      </c>
    </row>
    <row r="11" spans="1:43" s="36" customFormat="1" ht="14.7" customHeight="1" x14ac:dyDescent="0.3">
      <c r="A11" s="229"/>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7" t="s">
        <v>480</v>
      </c>
      <c r="AA11" s="110"/>
      <c r="AB11" s="110"/>
      <c r="AC11" s="110"/>
      <c r="AD11" s="110">
        <f>((X11*48)+(X11*-733))/1000</f>
        <v>0</v>
      </c>
      <c r="AE11" s="111">
        <f>AD11</f>
        <v>0</v>
      </c>
      <c r="AI11" s="38"/>
      <c r="AK11" s="387" t="s">
        <v>288</v>
      </c>
      <c r="AL11" s="277"/>
      <c r="AM11" s="277"/>
      <c r="AN11" s="277"/>
      <c r="AO11" s="277"/>
      <c r="AP11" s="277"/>
      <c r="AQ11" s="388">
        <v>3.3667559999999999E-2</v>
      </c>
    </row>
    <row r="12" spans="1:43" s="36" customFormat="1" ht="14.7" customHeight="1" x14ac:dyDescent="0.35">
      <c r="A12" s="229"/>
      <c r="B12" s="550" t="s">
        <v>401</v>
      </c>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2"/>
      <c r="AK12" s="387" t="s">
        <v>289</v>
      </c>
      <c r="AL12" s="277"/>
      <c r="AM12" s="277"/>
      <c r="AN12" s="277"/>
      <c r="AO12" s="277"/>
      <c r="AP12" s="277"/>
      <c r="AQ12" s="388">
        <v>3.3652585000000006E-2</v>
      </c>
    </row>
    <row r="13" spans="1:43" ht="14.4" x14ac:dyDescent="0.3">
      <c r="B13" s="129"/>
      <c r="C13" s="110"/>
      <c r="D13" s="110"/>
      <c r="E13" s="110"/>
      <c r="F13" s="110"/>
      <c r="G13" s="110"/>
      <c r="H13" s="110"/>
      <c r="I13" s="110"/>
      <c r="J13" s="110"/>
      <c r="K13" s="110"/>
      <c r="L13" s="110"/>
      <c r="M13" s="110"/>
      <c r="N13" s="110"/>
      <c r="O13" s="122"/>
      <c r="P13" s="122"/>
      <c r="Q13" s="122"/>
      <c r="R13" s="110"/>
      <c r="S13" s="110"/>
      <c r="T13" s="110"/>
      <c r="U13" s="110"/>
      <c r="V13" s="110"/>
      <c r="W13" s="110"/>
      <c r="X13" s="110">
        <v>34.325312500000003</v>
      </c>
      <c r="Y13" s="110"/>
      <c r="Z13" s="207" t="s">
        <v>276</v>
      </c>
      <c r="AA13" s="110"/>
      <c r="AB13" s="110"/>
      <c r="AC13" s="110">
        <f>X13*44/28</f>
        <v>53.939776785714287</v>
      </c>
      <c r="AD13" s="110"/>
      <c r="AE13" s="111">
        <f>AC13*298</f>
        <v>16074.053482142857</v>
      </c>
      <c r="AK13" s="387" t="s">
        <v>290</v>
      </c>
      <c r="AL13" s="277"/>
      <c r="AM13" s="277"/>
      <c r="AN13" s="277"/>
      <c r="AO13" s="277"/>
      <c r="AP13" s="277"/>
      <c r="AQ13" s="388">
        <v>4.3516480000000003E-2</v>
      </c>
    </row>
    <row r="14" spans="1:43" ht="14.4" x14ac:dyDescent="0.3">
      <c r="A14" s="46"/>
      <c r="B14" s="113"/>
      <c r="C14" s="110"/>
      <c r="D14" s="110"/>
      <c r="E14" s="110"/>
      <c r="F14" s="110"/>
      <c r="G14" s="110"/>
      <c r="H14" s="110"/>
      <c r="I14" s="110"/>
      <c r="J14" s="110"/>
      <c r="K14" s="110"/>
      <c r="L14" s="110"/>
      <c r="M14" s="110"/>
      <c r="N14" s="110"/>
      <c r="O14" s="110"/>
      <c r="P14" s="110"/>
      <c r="Q14" s="110"/>
      <c r="R14" s="110"/>
      <c r="S14" s="110"/>
      <c r="T14" s="110"/>
      <c r="U14" s="110"/>
      <c r="V14" s="38"/>
      <c r="W14" s="110">
        <f>-572361/1000</f>
        <v>-572.36099999999999</v>
      </c>
      <c r="Y14" s="111"/>
      <c r="Z14" s="207" t="s">
        <v>304</v>
      </c>
      <c r="AA14" s="110"/>
      <c r="AB14" s="110"/>
      <c r="AC14" s="110">
        <f>(W14*0.01*44/28)</f>
        <v>-8.9942442857142861</v>
      </c>
      <c r="AD14" s="110"/>
      <c r="AE14" s="111">
        <f>AC14*298</f>
        <v>-2680.2847971428573</v>
      </c>
      <c r="AK14" s="387" t="s">
        <v>291</v>
      </c>
      <c r="AL14" s="277"/>
      <c r="AM14" s="277"/>
      <c r="AN14" s="277"/>
      <c r="AO14" s="277"/>
      <c r="AP14" s="277"/>
      <c r="AQ14" s="388">
        <v>3.6757280000000003E-2</v>
      </c>
    </row>
    <row r="15" spans="1:43" s="36" customFormat="1" ht="14.7" customHeight="1" x14ac:dyDescent="0.3">
      <c r="A15" s="229"/>
      <c r="B15" s="113"/>
      <c r="C15" s="110"/>
      <c r="D15" s="110"/>
      <c r="E15" s="110"/>
      <c r="F15" s="110"/>
      <c r="G15" s="110"/>
      <c r="H15" s="110"/>
      <c r="I15" s="110"/>
      <c r="J15" s="110"/>
      <c r="K15" s="110"/>
      <c r="L15" s="110"/>
      <c r="M15" s="110"/>
      <c r="N15" s="110"/>
      <c r="O15" s="110"/>
      <c r="P15" s="110"/>
      <c r="Q15" s="110"/>
      <c r="R15" s="110"/>
      <c r="S15" s="110"/>
      <c r="T15" s="110"/>
      <c r="U15" s="110"/>
      <c r="V15" s="110"/>
      <c r="W15" s="110"/>
      <c r="X15" s="69">
        <f>4164/1000</f>
        <v>4.1639999999999997</v>
      </c>
      <c r="Y15" s="110"/>
      <c r="Z15" s="207" t="s">
        <v>375</v>
      </c>
      <c r="AA15" s="110"/>
      <c r="AB15" s="110"/>
      <c r="AC15" s="110">
        <f>X15*0.01*44/28</f>
        <v>6.5434285714285709E-2</v>
      </c>
      <c r="AD15" s="110"/>
      <c r="AE15" s="111">
        <f t="shared" ref="AE15:AE20" si="0">AC15*298</f>
        <v>19.499417142857141</v>
      </c>
      <c r="AJ15" s="38"/>
      <c r="AK15" s="387" t="s">
        <v>292</v>
      </c>
      <c r="AL15" s="277"/>
      <c r="AM15" s="277"/>
      <c r="AN15" s="277"/>
      <c r="AO15" s="277"/>
      <c r="AP15" s="277"/>
      <c r="AQ15" s="388">
        <v>2.5476140000000001E-2</v>
      </c>
    </row>
    <row r="16" spans="1:43" s="36" customFormat="1" ht="14.7" customHeight="1" x14ac:dyDescent="0.3">
      <c r="A16" s="229"/>
      <c r="B16" s="113"/>
      <c r="C16" s="110"/>
      <c r="D16" s="110"/>
      <c r="E16" s="110"/>
      <c r="F16" s="110"/>
      <c r="G16" s="110"/>
      <c r="H16" s="110"/>
      <c r="I16" s="110"/>
      <c r="J16" s="110"/>
      <c r="K16" s="110"/>
      <c r="L16" s="110"/>
      <c r="M16" s="110"/>
      <c r="N16" s="110"/>
      <c r="O16" s="110"/>
      <c r="P16" s="110"/>
      <c r="Q16" s="110"/>
      <c r="R16" s="110"/>
      <c r="S16" s="110"/>
      <c r="T16" s="110"/>
      <c r="U16" s="110"/>
      <c r="V16" s="38"/>
      <c r="W16" s="38"/>
      <c r="X16" s="110">
        <f>5210369/1000</f>
        <v>5210.3689999999997</v>
      </c>
      <c r="Y16" s="110"/>
      <c r="Z16" s="207" t="s">
        <v>277</v>
      </c>
      <c r="AA16" s="110"/>
      <c r="AB16" s="110"/>
      <c r="AC16" s="110">
        <f>X16*0.01*44/28</f>
        <v>81.877227142857137</v>
      </c>
      <c r="AD16" s="110"/>
      <c r="AE16" s="111">
        <f t="shared" si="0"/>
        <v>24399.413688571425</v>
      </c>
      <c r="AJ16" s="38"/>
      <c r="AK16" s="387" t="s">
        <v>293</v>
      </c>
      <c r="AL16" s="277"/>
      <c r="AM16" s="277"/>
      <c r="AN16" s="277"/>
      <c r="AO16" s="277"/>
      <c r="AP16" s="277"/>
      <c r="AQ16" s="388">
        <v>4.4355785000000002E-2</v>
      </c>
    </row>
    <row r="17" spans="1:43" s="36" customFormat="1" ht="14.7" customHeight="1" x14ac:dyDescent="0.3">
      <c r="A17" s="229"/>
      <c r="B17" s="113"/>
      <c r="C17" s="110"/>
      <c r="D17" s="110"/>
      <c r="E17" s="110"/>
      <c r="F17" s="110"/>
      <c r="G17" s="110"/>
      <c r="H17" s="110"/>
      <c r="I17" s="110"/>
      <c r="J17" s="110"/>
      <c r="K17" s="110"/>
      <c r="L17" s="110"/>
      <c r="M17" s="110"/>
      <c r="N17" s="110"/>
      <c r="O17" s="110"/>
      <c r="P17" s="110"/>
      <c r="Q17" s="110"/>
      <c r="R17" s="110"/>
      <c r="S17" s="110"/>
      <c r="T17" s="110"/>
      <c r="U17" s="110"/>
      <c r="V17" s="110"/>
      <c r="W17" s="110"/>
      <c r="X17" s="110">
        <f>3324750/1000</f>
        <v>3324.75</v>
      </c>
      <c r="Y17" s="110"/>
      <c r="Z17" s="207" t="s">
        <v>278</v>
      </c>
      <c r="AA17" s="110"/>
      <c r="AB17" s="110"/>
      <c r="AC17" s="110">
        <f>X17*0.01*44/28</f>
        <v>52.246071428571433</v>
      </c>
      <c r="AD17" s="110"/>
      <c r="AE17" s="111">
        <f t="shared" si="0"/>
        <v>15569.329285714288</v>
      </c>
      <c r="AI17" s="38"/>
      <c r="AK17" s="387" t="s">
        <v>294</v>
      </c>
      <c r="AL17" s="277"/>
      <c r="AM17" s="277"/>
      <c r="AN17" s="277"/>
      <c r="AO17" s="277"/>
      <c r="AP17" s="277"/>
      <c r="AQ17" s="388">
        <v>1.3454987999999999E-2</v>
      </c>
    </row>
    <row r="18" spans="1:43" s="36" customFormat="1" ht="14.7" customHeight="1" x14ac:dyDescent="0.3">
      <c r="A18" s="229"/>
      <c r="B18" s="113"/>
      <c r="C18" s="110"/>
      <c r="D18" s="110"/>
      <c r="E18" s="110"/>
      <c r="F18" s="110"/>
      <c r="G18" s="110"/>
      <c r="H18" s="110"/>
      <c r="I18" s="110"/>
      <c r="J18" s="110"/>
      <c r="K18" s="110"/>
      <c r="L18" s="110"/>
      <c r="M18" s="110"/>
      <c r="N18" s="110"/>
      <c r="O18" s="110"/>
      <c r="P18" s="110">
        <f>175774/1000</f>
        <v>175.774</v>
      </c>
      <c r="Q18" s="110"/>
      <c r="R18" s="110"/>
      <c r="S18" s="110"/>
      <c r="T18" s="110"/>
      <c r="U18" s="110"/>
      <c r="V18" s="110"/>
      <c r="W18" s="110"/>
      <c r="X18" s="110"/>
      <c r="Y18" s="110"/>
      <c r="Z18" s="207" t="s">
        <v>279</v>
      </c>
      <c r="AA18" s="110"/>
      <c r="AB18" s="110"/>
      <c r="AC18" s="110">
        <f>P18*0.01802565903847*44/28</f>
        <v>4.9789805871583264</v>
      </c>
      <c r="AD18" s="110"/>
      <c r="AE18" s="111">
        <f t="shared" si="0"/>
        <v>1483.7362149731812</v>
      </c>
      <c r="AI18" s="38"/>
      <c r="AK18" s="387" t="s">
        <v>295</v>
      </c>
      <c r="AL18" s="277"/>
      <c r="AM18" s="277"/>
      <c r="AN18" s="277"/>
      <c r="AO18" s="277"/>
      <c r="AP18" s="277"/>
      <c r="AQ18" s="388">
        <v>3.361198E-2</v>
      </c>
    </row>
    <row r="19" spans="1:43" s="36" customFormat="1" ht="14.7" customHeight="1" x14ac:dyDescent="0.3">
      <c r="A19" s="229"/>
      <c r="B19" s="113"/>
      <c r="C19" s="110"/>
      <c r="D19" s="110"/>
      <c r="E19" s="110"/>
      <c r="F19" s="110"/>
      <c r="G19" s="110"/>
      <c r="H19" s="110"/>
      <c r="I19" s="110"/>
      <c r="J19" s="110"/>
      <c r="K19" s="110"/>
      <c r="L19" s="110"/>
      <c r="M19" s="110"/>
      <c r="N19" s="110"/>
      <c r="O19" s="110"/>
      <c r="P19" s="110">
        <f>640413/1000</f>
        <v>640.41300000000001</v>
      </c>
      <c r="Q19" s="110"/>
      <c r="R19" s="110"/>
      <c r="S19" s="110"/>
      <c r="T19" s="110"/>
      <c r="U19" s="110"/>
      <c r="V19" s="110"/>
      <c r="W19" s="110"/>
      <c r="X19" s="110"/>
      <c r="Y19" s="110"/>
      <c r="Z19" s="207" t="s">
        <v>284</v>
      </c>
      <c r="AA19" s="110"/>
      <c r="AB19" s="110"/>
      <c r="AC19" s="110">
        <f>P19*0.01*44/28</f>
        <v>10.063632857142858</v>
      </c>
      <c r="AD19" s="110"/>
      <c r="AE19" s="111">
        <f t="shared" si="0"/>
        <v>2998.9625914285716</v>
      </c>
      <c r="AI19" s="38"/>
      <c r="AK19" s="387" t="s">
        <v>296</v>
      </c>
      <c r="AL19" s="277"/>
      <c r="AM19" s="277"/>
      <c r="AN19" s="277"/>
      <c r="AO19" s="277"/>
      <c r="AP19" s="277"/>
      <c r="AQ19" s="388">
        <v>7.7802725000000003E-2</v>
      </c>
    </row>
    <row r="20" spans="1:43" s="36" customFormat="1" ht="14.7" customHeight="1" x14ac:dyDescent="0.3">
      <c r="A20" s="229"/>
      <c r="B20" s="113"/>
      <c r="C20" s="110"/>
      <c r="D20" s="110"/>
      <c r="E20" s="110"/>
      <c r="F20" s="110"/>
      <c r="G20" s="110"/>
      <c r="H20" s="110"/>
      <c r="I20" s="110"/>
      <c r="J20" s="110"/>
      <c r="K20" s="110"/>
      <c r="L20" s="110"/>
      <c r="M20" s="110"/>
      <c r="N20" s="110"/>
      <c r="O20" s="110"/>
      <c r="P20" s="110">
        <f>2133780/1000</f>
        <v>2133.7800000000002</v>
      </c>
      <c r="Q20" s="110"/>
      <c r="R20" s="110"/>
      <c r="S20" s="110"/>
      <c r="T20" s="110"/>
      <c r="U20" s="110"/>
      <c r="V20" s="110"/>
      <c r="W20" s="110"/>
      <c r="X20" s="110"/>
      <c r="Y20" s="110"/>
      <c r="Z20" s="207" t="s">
        <v>285</v>
      </c>
      <c r="AA20" s="110"/>
      <c r="AB20" s="110"/>
      <c r="AC20" s="110">
        <f>P20*0.0075*44/28</f>
        <v>25.148121428571432</v>
      </c>
      <c r="AD20" s="110"/>
      <c r="AE20" s="111">
        <f t="shared" si="0"/>
        <v>7494.1401857142864</v>
      </c>
      <c r="AK20" s="387" t="s">
        <v>297</v>
      </c>
      <c r="AL20" s="277"/>
      <c r="AM20" s="277"/>
      <c r="AN20" s="277"/>
      <c r="AO20" s="277"/>
      <c r="AP20" s="277"/>
      <c r="AQ20" s="388">
        <v>2.5828534399999999E-2</v>
      </c>
    </row>
    <row r="21" spans="1:43" s="36" customFormat="1" ht="14.7" customHeight="1" x14ac:dyDescent="0.3">
      <c r="A21" s="229"/>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9879.543551299872</v>
      </c>
      <c r="Z21" s="207" t="s">
        <v>283</v>
      </c>
      <c r="AA21" s="110">
        <f>Y21*0.12*44/12</f>
        <v>4346.999162571944</v>
      </c>
      <c r="AB21" s="110"/>
      <c r="AC21" s="110"/>
      <c r="AD21" s="110"/>
      <c r="AE21" s="111">
        <f>AA21</f>
        <v>4346.999162571944</v>
      </c>
      <c r="AK21" s="387" t="s">
        <v>298</v>
      </c>
      <c r="AL21" s="277"/>
      <c r="AM21" s="277"/>
      <c r="AN21" s="277"/>
      <c r="AO21" s="277"/>
      <c r="AP21" s="277"/>
      <c r="AQ21" s="388">
        <v>3.1998940000000003E-2</v>
      </c>
    </row>
    <row r="22" spans="1:43" s="36" customFormat="1" ht="14.7" customHeight="1" x14ac:dyDescent="0.3">
      <c r="A22" s="229"/>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34.422912773751328</v>
      </c>
      <c r="Z22" s="207" t="s">
        <v>281</v>
      </c>
      <c r="AA22" s="110">
        <f>Y22*0.2*44/12</f>
        <v>25.243469367417642</v>
      </c>
      <c r="AB22" s="110"/>
      <c r="AC22" s="110"/>
      <c r="AD22" s="110"/>
      <c r="AE22" s="111">
        <f>AA22</f>
        <v>25.243469367417642</v>
      </c>
      <c r="AK22" s="387" t="s">
        <v>299</v>
      </c>
      <c r="AL22" s="277"/>
      <c r="AM22" s="277"/>
      <c r="AN22" s="277"/>
      <c r="AO22" s="277"/>
      <c r="AP22" s="277"/>
      <c r="AQ22" s="388">
        <v>3.1216724000000001E-2</v>
      </c>
    </row>
    <row r="23" spans="1:43" s="36" customFormat="1" ht="14.7" customHeight="1" thickBot="1" x14ac:dyDescent="0.4">
      <c r="A23" s="229"/>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472.86211757626819</v>
      </c>
      <c r="Z23" s="219" t="s">
        <v>282</v>
      </c>
      <c r="AA23" s="118">
        <f>Y23*0.03*44/12</f>
        <v>52.014832933389499</v>
      </c>
      <c r="AB23" s="118"/>
      <c r="AC23" s="118"/>
      <c r="AD23" s="118"/>
      <c r="AE23" s="119">
        <f>AA23</f>
        <v>52.014832933389499</v>
      </c>
      <c r="AK23" s="387" t="s">
        <v>300</v>
      </c>
      <c r="AL23" s="277"/>
      <c r="AM23" s="277"/>
      <c r="AN23" s="277"/>
      <c r="AO23" s="277"/>
      <c r="AP23" s="277"/>
      <c r="AQ23" s="388">
        <v>0.1336068</v>
      </c>
    </row>
    <row r="24" spans="1:43" s="36" customFormat="1" ht="14.7" customHeight="1" thickBot="1" x14ac:dyDescent="0.35">
      <c r="A24" s="229"/>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0" t="s">
        <v>30</v>
      </c>
      <c r="AA24" s="112">
        <f>SUM(AA10:AA11,AA16:AA23,AA31:AA32,AA35:AA42)</f>
        <v>4424.2574648727514</v>
      </c>
      <c r="AB24" s="112">
        <f>SUM(AB10:AB11,AB16:AB23,AB31:AB32,AB35:AB42)</f>
        <v>0</v>
      </c>
      <c r="AC24" s="112">
        <f>SUM(AC10:AC11,AC13:AC23,AC31:AC32,AC35:AC42)</f>
        <v>253.0383808767543</v>
      </c>
      <c r="AD24" s="112">
        <f>SUM(AD10:AD11,AD16:AD23,AD31:AD32,AD35:AD42)</f>
        <v>0</v>
      </c>
      <c r="AE24" s="209">
        <f>SUM(AE10:AE14,AE16:AE23,AE31:AE33,AE35:AE42)</f>
        <v>79810.195549002659</v>
      </c>
      <c r="AJ24" s="38"/>
      <c r="AK24" s="387" t="s">
        <v>301</v>
      </c>
      <c r="AL24" s="277"/>
      <c r="AM24" s="277"/>
      <c r="AN24" s="277"/>
      <c r="AO24" s="277"/>
      <c r="AP24" s="277"/>
      <c r="AQ24" s="388">
        <v>3.2117048127081278E-2</v>
      </c>
    </row>
    <row r="25" spans="1:43" s="36" customFormat="1" ht="15.6" customHeight="1" thickBot="1" x14ac:dyDescent="0.4">
      <c r="A25" s="229"/>
      <c r="B25" s="389" t="s">
        <v>402</v>
      </c>
      <c r="AK25" s="390" t="s">
        <v>302</v>
      </c>
      <c r="AL25" s="391"/>
      <c r="AM25" s="391"/>
      <c r="AN25" s="391"/>
      <c r="AO25" s="391"/>
      <c r="AP25" s="391"/>
      <c r="AQ25" s="62" t="s">
        <v>403</v>
      </c>
    </row>
    <row r="26" spans="1:43" s="36" customFormat="1" ht="15.6" customHeight="1" x14ac:dyDescent="0.3">
      <c r="A26" s="229"/>
      <c r="B26" s="389" t="s">
        <v>481</v>
      </c>
    </row>
    <row r="27" spans="1:43" s="36" customFormat="1" ht="15.6" customHeight="1" x14ac:dyDescent="0.25">
      <c r="A27" s="229"/>
    </row>
    <row r="28" spans="1:43" s="36" customFormat="1" ht="14.7" customHeight="1" x14ac:dyDescent="0.25">
      <c r="A28" s="229"/>
      <c r="AJ28" s="38"/>
    </row>
    <row r="29" spans="1:43" s="36" customFormat="1" x14ac:dyDescent="0.25">
      <c r="A29" s="230"/>
      <c r="AC29" s="37"/>
      <c r="AE29" s="38"/>
    </row>
    <row r="30" spans="1:43" s="36" customFormat="1" x14ac:dyDescent="0.25">
      <c r="A30" s="230"/>
      <c r="AC30" s="37"/>
      <c r="AE30" s="38"/>
      <c r="AH30" s="38"/>
    </row>
    <row r="31" spans="1:43" s="36" customFormat="1" ht="14.4" x14ac:dyDescent="0.3">
      <c r="A31" s="230"/>
      <c r="B31" s="38"/>
      <c r="C31" s="38"/>
      <c r="D31" s="38"/>
      <c r="E31" s="38"/>
      <c r="F31" s="38"/>
      <c r="G31" s="38"/>
      <c r="H31" s="38"/>
      <c r="I31" s="38"/>
      <c r="J31" s="38"/>
      <c r="K31" s="38"/>
      <c r="L31" s="38"/>
      <c r="M31" s="38"/>
      <c r="N31" s="38"/>
      <c r="O31" s="38"/>
      <c r="P31" s="38"/>
      <c r="Q31" s="38"/>
      <c r="R31" s="38"/>
      <c r="S31" s="38"/>
      <c r="T31" s="38"/>
      <c r="U31" s="38"/>
      <c r="V31" s="38"/>
      <c r="W31" s="38"/>
      <c r="X31" s="38"/>
      <c r="Y31" s="38"/>
      <c r="Z31" s="231"/>
      <c r="AA31" s="38"/>
      <c r="AB31" s="38"/>
      <c r="AC31" s="38"/>
      <c r="AD31" s="38"/>
      <c r="AE31" s="38"/>
      <c r="AK31" s="277"/>
      <c r="AL31" s="277"/>
      <c r="AM31" s="277"/>
      <c r="AN31" s="277"/>
      <c r="AO31" s="277"/>
      <c r="AP31" s="277"/>
    </row>
    <row r="32" spans="1:43" s="36" customFormat="1" ht="14.4" x14ac:dyDescent="0.3">
      <c r="A32" s="230"/>
      <c r="B32" s="38"/>
      <c r="C32" s="38"/>
      <c r="D32" s="38"/>
      <c r="E32" s="38"/>
      <c r="F32" s="38"/>
      <c r="G32" s="38"/>
      <c r="H32" s="38"/>
      <c r="I32" s="38"/>
      <c r="J32" s="38"/>
      <c r="K32" s="38"/>
      <c r="L32" s="38"/>
      <c r="M32" s="38"/>
      <c r="N32" s="38"/>
      <c r="O32" s="38"/>
      <c r="P32" s="38"/>
      <c r="Q32" s="38"/>
      <c r="R32" s="38"/>
      <c r="S32" s="38"/>
      <c r="T32" s="38"/>
      <c r="U32" s="38"/>
      <c r="V32" s="38"/>
      <c r="W32" s="38"/>
      <c r="X32" s="38"/>
      <c r="Y32" s="38"/>
      <c r="Z32" s="231"/>
      <c r="AA32" s="38"/>
      <c r="AB32" s="38"/>
      <c r="AC32" s="38"/>
      <c r="AD32" s="38"/>
      <c r="AE32" s="38"/>
      <c r="AK32" s="277"/>
      <c r="AL32" s="277"/>
      <c r="AM32" s="277"/>
      <c r="AN32" s="277"/>
      <c r="AO32" s="277"/>
      <c r="AP32" s="277"/>
    </row>
    <row r="33" spans="1:42" s="36" customFormat="1" ht="14.4" x14ac:dyDescent="0.3">
      <c r="A33" s="230"/>
      <c r="B33" s="38"/>
      <c r="C33" s="38"/>
      <c r="D33" s="38"/>
      <c r="E33" s="38"/>
      <c r="F33" s="38"/>
      <c r="G33" s="38"/>
      <c r="H33" s="38"/>
      <c r="I33" s="38"/>
      <c r="J33" s="38"/>
      <c r="K33" s="38"/>
      <c r="L33" s="38"/>
      <c r="M33" s="38"/>
      <c r="N33" s="38"/>
      <c r="O33" s="38"/>
      <c r="P33" s="38"/>
      <c r="Q33" s="38"/>
      <c r="R33" s="38"/>
      <c r="S33" s="38"/>
      <c r="T33" s="38"/>
      <c r="U33" s="38"/>
      <c r="V33" s="38"/>
      <c r="W33" s="38"/>
      <c r="Y33" s="38"/>
      <c r="Z33" s="231"/>
      <c r="AA33" s="38"/>
      <c r="AB33" s="38"/>
      <c r="AC33" s="38"/>
      <c r="AD33" s="38"/>
      <c r="AE33" s="38"/>
      <c r="AK33" s="277"/>
      <c r="AL33" s="277"/>
      <c r="AM33" s="277"/>
      <c r="AN33" s="277"/>
      <c r="AO33" s="277"/>
      <c r="AP33" s="277"/>
    </row>
    <row r="34" spans="1:42" s="36" customFormat="1" ht="14.4" x14ac:dyDescent="0.3">
      <c r="A34" s="230"/>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7"/>
      <c r="AL34" s="277"/>
      <c r="AM34" s="277"/>
      <c r="AN34" s="277"/>
      <c r="AO34" s="277"/>
      <c r="AP34" s="277"/>
    </row>
    <row r="35" spans="1:42" s="36" customFormat="1" ht="14.4" x14ac:dyDescent="0.3">
      <c r="A35" s="230"/>
      <c r="B35" s="38"/>
      <c r="C35" s="38"/>
      <c r="D35" s="38"/>
      <c r="E35" s="38"/>
      <c r="F35" s="38"/>
      <c r="G35" s="38"/>
      <c r="H35" s="38"/>
      <c r="I35" s="38"/>
      <c r="J35" s="38"/>
      <c r="K35" s="38"/>
      <c r="L35" s="38"/>
      <c r="M35" s="38"/>
      <c r="N35" s="38"/>
      <c r="O35" s="38"/>
      <c r="P35" s="38"/>
      <c r="Q35" s="38"/>
      <c r="R35" s="38"/>
      <c r="S35" s="38"/>
      <c r="T35" s="38"/>
      <c r="U35" s="38"/>
      <c r="V35" s="38"/>
      <c r="W35" s="38"/>
      <c r="X35" s="38"/>
      <c r="Y35" s="38"/>
      <c r="Z35" s="231"/>
      <c r="AA35" s="38"/>
      <c r="AB35" s="38"/>
      <c r="AC35" s="38"/>
      <c r="AD35" s="38"/>
      <c r="AE35" s="38"/>
      <c r="AK35" s="277"/>
      <c r="AL35" s="277"/>
      <c r="AM35" s="277"/>
      <c r="AN35" s="277"/>
      <c r="AO35" s="277"/>
      <c r="AP35" s="277"/>
    </row>
    <row r="36" spans="1:42" s="36" customFormat="1" ht="14.4" x14ac:dyDescent="0.3">
      <c r="A36" s="230"/>
      <c r="B36" s="38"/>
      <c r="C36" s="38"/>
      <c r="D36" s="38"/>
      <c r="E36" s="38"/>
      <c r="F36" s="38"/>
      <c r="G36" s="38"/>
      <c r="H36" s="38"/>
      <c r="I36" s="38"/>
      <c r="J36" s="38"/>
      <c r="K36" s="38"/>
      <c r="L36" s="38"/>
      <c r="M36" s="38"/>
      <c r="N36" s="38"/>
      <c r="O36" s="38"/>
      <c r="P36" s="38"/>
      <c r="Q36" s="38"/>
      <c r="R36" s="38"/>
      <c r="S36" s="38"/>
      <c r="T36" s="38"/>
      <c r="U36" s="38"/>
      <c r="V36" s="38"/>
      <c r="W36" s="38"/>
      <c r="X36" s="38"/>
      <c r="Y36" s="38"/>
      <c r="Z36" s="231"/>
      <c r="AA36" s="38"/>
      <c r="AB36" s="38"/>
      <c r="AC36" s="38"/>
      <c r="AD36" s="38"/>
      <c r="AE36" s="38"/>
      <c r="AK36" s="277"/>
      <c r="AL36" s="277"/>
      <c r="AM36" s="277"/>
      <c r="AN36" s="277"/>
      <c r="AO36" s="277"/>
      <c r="AP36" s="277"/>
    </row>
    <row r="37" spans="1:42" s="36" customFormat="1" ht="14.4" x14ac:dyDescent="0.3">
      <c r="A37" s="230"/>
      <c r="B37" s="38"/>
      <c r="C37" s="38"/>
      <c r="D37" s="38"/>
      <c r="E37" s="38"/>
      <c r="F37" s="38"/>
      <c r="G37" s="38"/>
      <c r="H37" s="38"/>
      <c r="I37" s="38"/>
      <c r="J37" s="38"/>
      <c r="K37" s="38"/>
      <c r="L37" s="38"/>
      <c r="M37" s="38"/>
      <c r="N37" s="38"/>
      <c r="O37" s="38"/>
      <c r="P37" s="38"/>
      <c r="Q37" s="38"/>
      <c r="R37" s="38"/>
      <c r="S37" s="38"/>
      <c r="T37" s="38"/>
      <c r="U37" s="38"/>
      <c r="V37" s="38"/>
      <c r="W37" s="38"/>
      <c r="X37" s="38"/>
      <c r="Y37" s="38"/>
      <c r="Z37" s="231"/>
      <c r="AA37" s="38"/>
      <c r="AB37" s="38"/>
      <c r="AC37" s="38"/>
      <c r="AD37" s="38"/>
      <c r="AE37" s="38"/>
      <c r="AK37" s="277"/>
      <c r="AL37" s="277"/>
      <c r="AM37" s="277"/>
      <c r="AN37" s="277"/>
      <c r="AO37" s="277"/>
      <c r="AP37" s="277"/>
    </row>
    <row r="38" spans="1:42" s="36" customFormat="1" ht="14.4" x14ac:dyDescent="0.3">
      <c r="A38" s="230"/>
      <c r="B38" s="38"/>
      <c r="C38" s="38"/>
      <c r="D38" s="38"/>
      <c r="E38" s="38"/>
      <c r="F38" s="38"/>
      <c r="G38" s="38"/>
      <c r="H38" s="38"/>
      <c r="I38" s="38"/>
      <c r="J38" s="38"/>
      <c r="K38" s="38"/>
      <c r="L38" s="38"/>
      <c r="M38" s="38"/>
      <c r="N38" s="38"/>
      <c r="O38" s="38"/>
      <c r="P38" s="38"/>
      <c r="Q38" s="38"/>
      <c r="R38" s="38"/>
      <c r="S38" s="38"/>
      <c r="T38" s="38"/>
      <c r="U38" s="38"/>
      <c r="V38" s="38"/>
      <c r="W38" s="38"/>
      <c r="X38" s="38"/>
      <c r="Y38" s="38"/>
      <c r="Z38" s="231"/>
      <c r="AA38" s="38"/>
      <c r="AB38" s="38"/>
      <c r="AC38" s="38"/>
      <c r="AD38" s="38"/>
      <c r="AE38" s="38"/>
      <c r="AK38" s="277"/>
      <c r="AL38" s="277"/>
      <c r="AM38" s="277"/>
      <c r="AN38" s="277"/>
      <c r="AO38" s="277"/>
      <c r="AP38" s="277"/>
    </row>
    <row r="39" spans="1:42" s="36" customFormat="1" ht="14.4" x14ac:dyDescent="0.3">
      <c r="A39" s="230"/>
      <c r="B39" s="38"/>
      <c r="C39" s="38"/>
      <c r="D39" s="38"/>
      <c r="E39" s="38"/>
      <c r="F39" s="38"/>
      <c r="G39" s="38"/>
      <c r="H39" s="38"/>
      <c r="I39" s="38"/>
      <c r="J39" s="38"/>
      <c r="K39" s="38"/>
      <c r="L39" s="38"/>
      <c r="M39" s="38"/>
      <c r="N39" s="38"/>
      <c r="O39" s="38"/>
      <c r="P39" s="38"/>
      <c r="Q39" s="38"/>
      <c r="R39" s="38"/>
      <c r="S39" s="38"/>
      <c r="T39" s="38"/>
      <c r="U39" s="38"/>
      <c r="V39" s="38"/>
      <c r="W39" s="38"/>
      <c r="X39" s="38"/>
      <c r="Y39" s="38"/>
      <c r="Z39" s="231"/>
      <c r="AA39" s="38"/>
      <c r="AB39" s="38"/>
      <c r="AC39" s="38"/>
      <c r="AD39" s="38"/>
      <c r="AE39" s="38"/>
      <c r="AK39" s="277"/>
      <c r="AL39" s="277"/>
      <c r="AM39" s="277"/>
      <c r="AN39" s="277"/>
      <c r="AO39" s="277"/>
      <c r="AP39" s="277"/>
    </row>
    <row r="40" spans="1:42" s="36" customFormat="1" ht="14.4" x14ac:dyDescent="0.3">
      <c r="A40" s="230"/>
      <c r="B40" s="38"/>
      <c r="C40" s="38"/>
      <c r="D40" s="38"/>
      <c r="E40" s="38"/>
      <c r="F40" s="38"/>
      <c r="G40" s="38"/>
      <c r="H40" s="38"/>
      <c r="I40" s="38"/>
      <c r="J40" s="38"/>
      <c r="K40" s="38"/>
      <c r="L40" s="38"/>
      <c r="M40" s="38"/>
      <c r="N40" s="38"/>
      <c r="O40" s="38"/>
      <c r="P40" s="38"/>
      <c r="Q40" s="38"/>
      <c r="R40" s="38"/>
      <c r="S40" s="38"/>
      <c r="T40" s="38"/>
      <c r="U40" s="38"/>
      <c r="V40" s="38"/>
      <c r="W40" s="38"/>
      <c r="X40" s="38"/>
      <c r="Y40" s="38"/>
      <c r="Z40" s="231"/>
      <c r="AA40" s="38"/>
      <c r="AB40" s="38"/>
      <c r="AC40" s="38"/>
      <c r="AD40" s="38"/>
      <c r="AE40" s="38"/>
      <c r="AK40" s="277"/>
      <c r="AL40" s="277"/>
      <c r="AM40" s="277"/>
      <c r="AN40" s="277"/>
      <c r="AO40" s="277"/>
      <c r="AP40" s="277"/>
    </row>
    <row r="41" spans="1:42" s="36" customFormat="1" ht="14.4" x14ac:dyDescent="0.3">
      <c r="A41" s="230"/>
      <c r="B41" s="38"/>
      <c r="C41" s="38"/>
      <c r="D41" s="38"/>
      <c r="E41" s="38"/>
      <c r="F41" s="38"/>
      <c r="G41" s="38"/>
      <c r="H41" s="38"/>
      <c r="I41" s="38"/>
      <c r="J41" s="38"/>
      <c r="K41" s="38"/>
      <c r="L41" s="38"/>
      <c r="M41" s="38"/>
      <c r="N41" s="38"/>
      <c r="O41" s="38"/>
      <c r="P41" s="38"/>
      <c r="Q41" s="38"/>
      <c r="R41" s="38"/>
      <c r="S41" s="38"/>
      <c r="T41" s="38"/>
      <c r="U41" s="38"/>
      <c r="V41" s="38"/>
      <c r="W41" s="38"/>
      <c r="X41" s="38"/>
      <c r="Y41" s="38"/>
      <c r="Z41" s="231"/>
      <c r="AA41" s="38"/>
      <c r="AB41" s="38"/>
      <c r="AC41" s="38"/>
      <c r="AD41" s="38"/>
      <c r="AE41" s="38"/>
      <c r="AK41" s="277"/>
      <c r="AL41" s="277"/>
      <c r="AM41" s="277"/>
      <c r="AN41" s="277"/>
      <c r="AO41" s="277"/>
      <c r="AP41" s="277"/>
    </row>
    <row r="42" spans="1:42" s="36" customFormat="1" ht="14.4" x14ac:dyDescent="0.3">
      <c r="A42" s="230"/>
      <c r="B42" s="38"/>
      <c r="C42" s="38"/>
      <c r="D42" s="38"/>
      <c r="E42" s="38"/>
      <c r="F42" s="38"/>
      <c r="G42" s="38"/>
      <c r="H42" s="38"/>
      <c r="I42" s="38"/>
      <c r="J42" s="38"/>
      <c r="K42" s="38"/>
      <c r="L42" s="38"/>
      <c r="M42" s="38"/>
      <c r="N42" s="38"/>
      <c r="O42" s="38"/>
      <c r="P42" s="38"/>
      <c r="Q42" s="38"/>
      <c r="R42" s="38"/>
      <c r="S42" s="38"/>
      <c r="T42" s="38"/>
      <c r="U42" s="38"/>
      <c r="V42" s="38"/>
      <c r="W42" s="38"/>
      <c r="X42" s="38"/>
      <c r="Y42" s="38"/>
      <c r="Z42" s="231"/>
      <c r="AA42" s="38"/>
      <c r="AB42" s="38"/>
      <c r="AC42" s="38"/>
      <c r="AD42" s="38"/>
      <c r="AE42" s="38"/>
      <c r="AK42" s="277"/>
      <c r="AL42" s="277"/>
      <c r="AM42" s="277"/>
      <c r="AN42" s="277"/>
      <c r="AO42" s="277"/>
      <c r="AP42" s="277"/>
    </row>
    <row r="43" spans="1:42" s="36" customFormat="1" ht="14.4" x14ac:dyDescent="0.3">
      <c r="AK43" s="277"/>
      <c r="AL43" s="277"/>
      <c r="AM43" s="277"/>
      <c r="AN43" s="277"/>
      <c r="AO43" s="277"/>
      <c r="AP43" s="277"/>
    </row>
    <row r="44" spans="1:42" s="36" customFormat="1" ht="14.4" x14ac:dyDescent="0.3">
      <c r="AK44" s="277"/>
      <c r="AL44" s="277"/>
      <c r="AM44" s="277"/>
      <c r="AN44" s="277"/>
      <c r="AO44" s="277"/>
      <c r="AP44" s="277"/>
    </row>
    <row r="45" spans="1:42" s="36" customFormat="1" ht="14.4" x14ac:dyDescent="0.3">
      <c r="AK45" s="277"/>
      <c r="AL45" s="277"/>
      <c r="AM45" s="277"/>
      <c r="AN45" s="277"/>
      <c r="AO45" s="277"/>
      <c r="AP45" s="277"/>
    </row>
    <row r="46" spans="1:42" s="36" customFormat="1" ht="14.4" x14ac:dyDescent="0.3">
      <c r="AC46" s="37"/>
      <c r="AE46" s="38"/>
      <c r="AK46" s="277"/>
      <c r="AL46" s="277"/>
      <c r="AM46" s="277"/>
      <c r="AN46" s="277"/>
      <c r="AO46" s="277"/>
      <c r="AP46" s="277"/>
    </row>
    <row r="47" spans="1:42" s="36" customFormat="1" ht="14.4" x14ac:dyDescent="0.3">
      <c r="AC47" s="37"/>
      <c r="AE47" s="38"/>
      <c r="AK47" s="277"/>
      <c r="AL47" s="277"/>
      <c r="AM47" s="277"/>
      <c r="AN47" s="277"/>
      <c r="AO47" s="277"/>
      <c r="AP47" s="277"/>
    </row>
    <row r="48" spans="1:42" s="36" customFormat="1" x14ac:dyDescent="0.25">
      <c r="AC48" s="37"/>
      <c r="AE48" s="38"/>
    </row>
    <row r="49" spans="29:31" s="36" customFormat="1" x14ac:dyDescent="0.25">
      <c r="AC49" s="37"/>
      <c r="AE49" s="38"/>
    </row>
    <row r="50" spans="29:31" s="36" customFormat="1" x14ac:dyDescent="0.25">
      <c r="AC50" s="37"/>
      <c r="AE50" s="38"/>
    </row>
    <row r="51" spans="29:31" s="36" customFormat="1" x14ac:dyDescent="0.25">
      <c r="AC51" s="37"/>
      <c r="AE51" s="38"/>
    </row>
    <row r="52" spans="29:31" s="36" customFormat="1" x14ac:dyDescent="0.25">
      <c r="AC52" s="37"/>
      <c r="AE52" s="38"/>
    </row>
    <row r="53" spans="29:31" s="36" customFormat="1" x14ac:dyDescent="0.25">
      <c r="AC53" s="37"/>
      <c r="AE53" s="38"/>
    </row>
    <row r="54" spans="29:31" s="36" customFormat="1" x14ac:dyDescent="0.25">
      <c r="AC54" s="37"/>
      <c r="AE54" s="38"/>
    </row>
    <row r="55" spans="29:31" s="36" customFormat="1" x14ac:dyDescent="0.25">
      <c r="AC55" s="37"/>
      <c r="AE55" s="38"/>
    </row>
    <row r="56" spans="29:31" s="36" customFormat="1" x14ac:dyDescent="0.25">
      <c r="AC56" s="37"/>
      <c r="AE56" s="38"/>
    </row>
    <row r="57" spans="29:31" s="36" customFormat="1" x14ac:dyDescent="0.25">
      <c r="AC57" s="37"/>
      <c r="AE57" s="38"/>
    </row>
    <row r="58" spans="29:31" s="36" customFormat="1" x14ac:dyDescent="0.25">
      <c r="AC58" s="37"/>
      <c r="AE58" s="38"/>
    </row>
    <row r="59" spans="29:31" s="36" customFormat="1" x14ac:dyDescent="0.25">
      <c r="AC59" s="37"/>
      <c r="AE59" s="38"/>
    </row>
    <row r="60" spans="29:31" s="36" customFormat="1" x14ac:dyDescent="0.25">
      <c r="AC60" s="37"/>
      <c r="AE60" s="38"/>
    </row>
    <row r="61" spans="29:31" s="36" customFormat="1" x14ac:dyDescent="0.25">
      <c r="AC61" s="37"/>
      <c r="AE61" s="38"/>
    </row>
    <row r="62" spans="29:31" s="36" customFormat="1" x14ac:dyDescent="0.25">
      <c r="AC62" s="37"/>
      <c r="AE62" s="38"/>
    </row>
    <row r="63" spans="29:31" s="36" customFormat="1" x14ac:dyDescent="0.25">
      <c r="AC63" s="37"/>
      <c r="AE63" s="38"/>
    </row>
    <row r="64" spans="29:31" s="36" customFormat="1" x14ac:dyDescent="0.25">
      <c r="AC64" s="37"/>
      <c r="AE64" s="38"/>
    </row>
    <row r="65" spans="29:31" s="36" customFormat="1" x14ac:dyDescent="0.25">
      <c r="AC65" s="37"/>
      <c r="AE65" s="38"/>
    </row>
    <row r="66" spans="29:31" s="36" customFormat="1" x14ac:dyDescent="0.25">
      <c r="AC66" s="37"/>
      <c r="AE66" s="38"/>
    </row>
    <row r="67" spans="29:31" s="36" customFormat="1" x14ac:dyDescent="0.25">
      <c r="AC67" s="37"/>
      <c r="AE67" s="38"/>
    </row>
    <row r="68" spans="29:31" s="36" customFormat="1" x14ac:dyDescent="0.25">
      <c r="AC68" s="37"/>
      <c r="AE68" s="38"/>
    </row>
    <row r="69" spans="29:31" s="36" customFormat="1" x14ac:dyDescent="0.25">
      <c r="AC69" s="37"/>
      <c r="AE69" s="38"/>
    </row>
    <row r="70" spans="29:31" s="36" customFormat="1" x14ac:dyDescent="0.25">
      <c r="AC70" s="37"/>
      <c r="AE70" s="38"/>
    </row>
    <row r="71" spans="29:31" s="36" customFormat="1" x14ac:dyDescent="0.25">
      <c r="AC71" s="37"/>
      <c r="AE71" s="38"/>
    </row>
    <row r="72" spans="29:31" s="36" customFormat="1" x14ac:dyDescent="0.25">
      <c r="AC72" s="37"/>
      <c r="AE72" s="38"/>
    </row>
    <row r="73" spans="29:31" s="36" customFormat="1" x14ac:dyDescent="0.25">
      <c r="AC73" s="37"/>
      <c r="AE73" s="38"/>
    </row>
    <row r="74" spans="29:31" s="36" customFormat="1" x14ac:dyDescent="0.25">
      <c r="AC74" s="37"/>
      <c r="AE74" s="38"/>
    </row>
    <row r="75" spans="29:31" s="36" customFormat="1" x14ac:dyDescent="0.25">
      <c r="AC75" s="37"/>
      <c r="AE75" s="38"/>
    </row>
    <row r="76" spans="29:31" s="36" customFormat="1" x14ac:dyDescent="0.25">
      <c r="AC76" s="37"/>
      <c r="AE76" s="38"/>
    </row>
    <row r="77" spans="29:31" s="36" customFormat="1" x14ac:dyDescent="0.25">
      <c r="AC77" s="37"/>
      <c r="AE77" s="38"/>
    </row>
    <row r="78" spans="29:31" s="36" customFormat="1" x14ac:dyDescent="0.25">
      <c r="AC78" s="37"/>
      <c r="AE78" s="38"/>
    </row>
    <row r="79" spans="29:31" s="36" customFormat="1" x14ac:dyDescent="0.25">
      <c r="AC79" s="37"/>
      <c r="AE79" s="38"/>
    </row>
    <row r="80" spans="29:31" s="36" customFormat="1" x14ac:dyDescent="0.25">
      <c r="AC80" s="37"/>
      <c r="AE80" s="38"/>
    </row>
    <row r="81" spans="29:31" s="36" customFormat="1" x14ac:dyDescent="0.25">
      <c r="AC81" s="37"/>
      <c r="AE81" s="38"/>
    </row>
    <row r="82" spans="29:31" s="36" customFormat="1" x14ac:dyDescent="0.25">
      <c r="AC82" s="37"/>
      <c r="AE82" s="38"/>
    </row>
    <row r="83" spans="29:31" s="36" customFormat="1" x14ac:dyDescent="0.25">
      <c r="AC83" s="37"/>
      <c r="AE83" s="38"/>
    </row>
    <row r="84" spans="29:31" s="36" customFormat="1" x14ac:dyDescent="0.25">
      <c r="AC84" s="37"/>
      <c r="AE84" s="38"/>
    </row>
    <row r="85" spans="29:31" s="36" customFormat="1" x14ac:dyDescent="0.25">
      <c r="AC85" s="37"/>
      <c r="AE85" s="38"/>
    </row>
    <row r="86" spans="29:31" s="36" customFormat="1" x14ac:dyDescent="0.25">
      <c r="AC86" s="37"/>
      <c r="AE86" s="38"/>
    </row>
    <row r="87" spans="29:31" s="36" customFormat="1" x14ac:dyDescent="0.25">
      <c r="AC87" s="37"/>
      <c r="AE87" s="38"/>
    </row>
    <row r="88" spans="29:31" s="36" customFormat="1" x14ac:dyDescent="0.25">
      <c r="AC88" s="37"/>
      <c r="AE88" s="38"/>
    </row>
    <row r="89" spans="29:31" s="36" customFormat="1" x14ac:dyDescent="0.25">
      <c r="AC89" s="37"/>
      <c r="AE89" s="38"/>
    </row>
    <row r="90" spans="29:31" s="36" customFormat="1" x14ac:dyDescent="0.25">
      <c r="AC90" s="37"/>
      <c r="AE90" s="38"/>
    </row>
    <row r="91" spans="29:31" s="36" customFormat="1" x14ac:dyDescent="0.25">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7"/>
  <sheetViews>
    <sheetView topLeftCell="A10" zoomScale="85" zoomScaleNormal="85" workbookViewId="0">
      <selection activeCell="L34" sqref="L34:M34"/>
    </sheetView>
  </sheetViews>
  <sheetFormatPr defaultColWidth="8.6640625" defaultRowHeight="13.8" x14ac:dyDescent="0.25"/>
  <cols>
    <col min="1" max="5" width="8.6640625" style="36"/>
    <col min="6" max="6" width="9" style="36" customWidth="1"/>
    <col min="7" max="8" width="8.6640625" style="36"/>
    <col min="9" max="9" width="10.6640625" style="36" customWidth="1"/>
    <col min="10" max="10" width="60.44140625" style="46" customWidth="1"/>
    <col min="11" max="11" width="12.88671875" style="36" customWidth="1"/>
    <col min="12" max="12" width="10.5546875" style="36" bestFit="1" customWidth="1"/>
    <col min="13" max="13" width="9.5546875" style="37" bestFit="1" customWidth="1"/>
    <col min="14" max="14" width="12.33203125" style="36" bestFit="1" customWidth="1"/>
    <col min="15" max="15" width="8.6640625" style="36"/>
    <col min="16" max="16" width="14.44140625" style="38" customWidth="1"/>
    <col min="17" max="35" width="9.109375" style="36" customWidth="1"/>
    <col min="36" max="16384" width="8.6640625" style="46"/>
  </cols>
  <sheetData>
    <row r="1" spans="1:35" s="36" customFormat="1" ht="14.4" thickBot="1" x14ac:dyDescent="0.3">
      <c r="M1" s="37"/>
      <c r="P1" s="38"/>
    </row>
    <row r="2" spans="1:35" s="36" customFormat="1" ht="15.6" x14ac:dyDescent="0.25">
      <c r="A2" s="278" t="s">
        <v>0</v>
      </c>
      <c r="B2" s="279"/>
      <c r="C2" s="279"/>
      <c r="D2" s="280">
        <v>2018</v>
      </c>
      <c r="J2" s="39" t="s">
        <v>95</v>
      </c>
      <c r="M2" s="37"/>
      <c r="P2" s="38"/>
    </row>
    <row r="3" spans="1:35" s="36" customFormat="1" ht="35.1" customHeight="1" thickBot="1" x14ac:dyDescent="0.3">
      <c r="A3" s="40" t="s">
        <v>229</v>
      </c>
      <c r="B3" s="41" t="s">
        <v>79</v>
      </c>
      <c r="C3" s="42" t="s">
        <v>234</v>
      </c>
      <c r="D3" s="43"/>
      <c r="J3" s="44" t="s">
        <v>1</v>
      </c>
      <c r="M3" s="37"/>
      <c r="P3" s="38"/>
    </row>
    <row r="4" spans="1:35" s="36" customFormat="1" ht="14.4" x14ac:dyDescent="0.25">
      <c r="J4" s="94" t="s">
        <v>482</v>
      </c>
      <c r="M4" s="37"/>
      <c r="P4" s="38"/>
    </row>
    <row r="5" spans="1:35" s="36" customFormat="1" x14ac:dyDescent="0.25">
      <c r="B5" s="6"/>
      <c r="C5" s="6"/>
      <c r="D5" s="6"/>
      <c r="E5" s="226"/>
      <c r="F5" s="6"/>
      <c r="M5" s="37"/>
      <c r="P5" s="38"/>
    </row>
    <row r="6" spans="1:35" s="36" customFormat="1" ht="21" customHeight="1" x14ac:dyDescent="0.5">
      <c r="B6" s="6"/>
      <c r="C6" s="227"/>
      <c r="D6" s="228"/>
      <c r="E6" s="226"/>
      <c r="F6" s="6"/>
      <c r="M6" s="37"/>
      <c r="P6" s="38"/>
    </row>
    <row r="7" spans="1:35" s="36" customFormat="1" ht="17.399999999999999" thickBot="1" x14ac:dyDescent="0.35">
      <c r="B7" s="549" t="s">
        <v>340</v>
      </c>
      <c r="C7" s="549"/>
      <c r="D7" s="549"/>
      <c r="E7" s="549"/>
      <c r="F7" s="549"/>
      <c r="G7" s="549"/>
      <c r="H7" s="549"/>
      <c r="I7" s="549"/>
      <c r="J7" s="94" t="s">
        <v>228</v>
      </c>
      <c r="K7" s="549" t="s">
        <v>230</v>
      </c>
      <c r="L7" s="549"/>
      <c r="M7" s="549"/>
      <c r="N7" s="549"/>
      <c r="O7" s="549"/>
      <c r="P7" s="549"/>
    </row>
    <row r="8" spans="1:35" s="36" customFormat="1" ht="228.6" x14ac:dyDescent="0.25">
      <c r="B8" s="102" t="s">
        <v>80</v>
      </c>
      <c r="C8" s="101" t="s">
        <v>81</v>
      </c>
      <c r="D8" s="101" t="s">
        <v>82</v>
      </c>
      <c r="E8" s="101" t="s">
        <v>83</v>
      </c>
      <c r="F8" s="101" t="s">
        <v>336</v>
      </c>
      <c r="G8" s="101" t="s">
        <v>84</v>
      </c>
      <c r="H8" s="101" t="s">
        <v>85</v>
      </c>
      <c r="I8" s="101" t="s">
        <v>372</v>
      </c>
      <c r="J8" s="45"/>
      <c r="K8" s="216" t="s">
        <v>24</v>
      </c>
      <c r="L8" s="101" t="s">
        <v>236</v>
      </c>
      <c r="M8" s="217" t="s">
        <v>25</v>
      </c>
      <c r="N8" s="101" t="s">
        <v>86</v>
      </c>
      <c r="O8" s="216" t="s">
        <v>373</v>
      </c>
      <c r="P8" s="218" t="s">
        <v>392</v>
      </c>
    </row>
    <row r="9" spans="1:35" s="36" customFormat="1" ht="17.25" customHeight="1" x14ac:dyDescent="0.25">
      <c r="A9" s="229"/>
      <c r="B9" s="560" t="s">
        <v>231</v>
      </c>
      <c r="C9" s="561"/>
      <c r="D9" s="561"/>
      <c r="E9" s="561"/>
      <c r="F9" s="561"/>
      <c r="G9" s="561"/>
      <c r="H9" s="561"/>
      <c r="I9" s="561"/>
      <c r="J9" s="561"/>
      <c r="K9" s="561"/>
      <c r="L9" s="561"/>
      <c r="M9" s="561"/>
      <c r="N9" s="561"/>
      <c r="O9" s="561"/>
      <c r="P9" s="562"/>
    </row>
    <row r="10" spans="1:35" s="36" customFormat="1" ht="14.4" customHeight="1" x14ac:dyDescent="0.25">
      <c r="A10" s="229"/>
      <c r="B10" s="381">
        <v>5701.25</v>
      </c>
      <c r="C10" s="69"/>
      <c r="D10" s="69"/>
      <c r="E10" s="69"/>
      <c r="F10" s="69"/>
      <c r="G10" s="69"/>
      <c r="H10" s="69"/>
      <c r="I10" s="69"/>
      <c r="J10" s="204" t="s">
        <v>465</v>
      </c>
      <c r="K10" s="110"/>
      <c r="L10" s="110"/>
      <c r="M10" s="110"/>
      <c r="N10" s="110">
        <v>-1857.7796568591184</v>
      </c>
      <c r="O10" s="110">
        <f>P10/SUM(B10:I10)</f>
        <v>1.1948009194153506</v>
      </c>
      <c r="P10" s="111">
        <f>N10*-(44/12)</f>
        <v>6811.8587418167672</v>
      </c>
      <c r="Q10" s="108"/>
      <c r="T10" s="281"/>
      <c r="U10" s="281"/>
      <c r="V10" s="281"/>
      <c r="W10" s="281"/>
      <c r="X10" s="281"/>
      <c r="Y10" s="281"/>
      <c r="Z10" s="281"/>
      <c r="AA10" s="281"/>
      <c r="AB10" s="281"/>
      <c r="AC10" s="281"/>
      <c r="AD10" s="281"/>
      <c r="AE10" s="281"/>
      <c r="AF10" s="281"/>
      <c r="AG10" s="281"/>
      <c r="AH10" s="281"/>
      <c r="AI10" s="281"/>
    </row>
    <row r="11" spans="1:35" s="36" customFormat="1" ht="14.4" customHeight="1" x14ac:dyDescent="0.25">
      <c r="A11" s="229"/>
      <c r="B11" s="381"/>
      <c r="C11" s="69">
        <v>53816.375</v>
      </c>
      <c r="D11" s="69"/>
      <c r="E11" s="69"/>
      <c r="F11" s="69"/>
      <c r="G11" s="69"/>
      <c r="H11" s="69"/>
      <c r="I11" s="69"/>
      <c r="J11" s="204" t="s">
        <v>466</v>
      </c>
      <c r="K11" s="110"/>
      <c r="L11" s="110"/>
      <c r="M11" s="110"/>
      <c r="N11" s="110">
        <v>-34248.337144118414</v>
      </c>
      <c r="O11" s="110">
        <f t="shared" ref="O11:O33" si="0">P11/SUM(B11:I11)</f>
        <v>2.3334391473803437</v>
      </c>
      <c r="P11" s="111">
        <f>N11*-(44/12)</f>
        <v>125577.23619510085</v>
      </c>
      <c r="Q11" s="108"/>
      <c r="R11" s="38"/>
    </row>
    <row r="12" spans="1:35" s="36" customFormat="1" ht="14.4" customHeight="1" x14ac:dyDescent="0.25">
      <c r="A12" s="229"/>
      <c r="B12" s="381"/>
      <c r="C12" s="69"/>
      <c r="D12" s="69">
        <v>1104.625</v>
      </c>
      <c r="E12" s="69"/>
      <c r="F12" s="69"/>
      <c r="G12" s="69"/>
      <c r="H12" s="69"/>
      <c r="I12" s="69"/>
      <c r="J12" s="204" t="s">
        <v>467</v>
      </c>
      <c r="K12" s="110"/>
      <c r="L12" s="110"/>
      <c r="M12" s="110"/>
      <c r="N12" s="110">
        <v>-3082.8550862866568</v>
      </c>
      <c r="O12" s="110">
        <f t="shared" si="0"/>
        <v>10.233157843658322</v>
      </c>
      <c r="P12" s="111">
        <f>N12*-(44/12)</f>
        <v>11303.801983051075</v>
      </c>
      <c r="Q12" s="282"/>
    </row>
    <row r="13" spans="1:35" s="36" customFormat="1" ht="14.4" customHeight="1" x14ac:dyDescent="0.25">
      <c r="A13" s="229"/>
      <c r="B13" s="381"/>
      <c r="C13" s="69"/>
      <c r="D13" s="69"/>
      <c r="E13" s="69">
        <v>1359.625</v>
      </c>
      <c r="F13" s="69"/>
      <c r="G13" s="69"/>
      <c r="H13" s="69"/>
      <c r="I13" s="69"/>
      <c r="J13" s="204" t="s">
        <v>468</v>
      </c>
      <c r="K13" s="110"/>
      <c r="L13" s="110"/>
      <c r="M13" s="110"/>
      <c r="N13" s="110">
        <v>0</v>
      </c>
      <c r="O13" s="110"/>
      <c r="P13" s="111">
        <f>N13*-(44/12)</f>
        <v>0</v>
      </c>
      <c r="Q13" s="283"/>
    </row>
    <row r="14" spans="1:35" s="36" customFormat="1" ht="14.4" customHeight="1" x14ac:dyDescent="0.25">
      <c r="A14" s="229"/>
      <c r="B14" s="381"/>
      <c r="C14" s="69"/>
      <c r="D14" s="69"/>
      <c r="E14" s="69"/>
      <c r="F14" s="69">
        <v>548.6875</v>
      </c>
      <c r="G14" s="69"/>
      <c r="H14" s="69"/>
      <c r="I14" s="69"/>
      <c r="J14" s="204" t="s">
        <v>469</v>
      </c>
      <c r="K14" s="110"/>
      <c r="L14" s="110"/>
      <c r="M14" s="110"/>
      <c r="N14" s="110" t="s">
        <v>343</v>
      </c>
      <c r="O14" s="110"/>
      <c r="P14" s="111" t="s">
        <v>343</v>
      </c>
      <c r="Q14" s="283"/>
      <c r="R14" s="108"/>
      <c r="S14" s="108"/>
      <c r="T14" s="108"/>
      <c r="U14" s="284"/>
      <c r="V14" s="108"/>
      <c r="W14" s="108"/>
    </row>
    <row r="15" spans="1:35" s="36" customFormat="1" ht="14.4" customHeight="1" x14ac:dyDescent="0.25">
      <c r="A15" s="229"/>
      <c r="B15" s="381"/>
      <c r="C15" s="69"/>
      <c r="D15" s="69"/>
      <c r="E15" s="69"/>
      <c r="F15" s="69"/>
      <c r="G15" s="69">
        <v>7933.625</v>
      </c>
      <c r="H15" s="69"/>
      <c r="I15" s="69"/>
      <c r="J15" s="204" t="s">
        <v>470</v>
      </c>
      <c r="K15" s="110"/>
      <c r="L15" s="110"/>
      <c r="M15" s="110"/>
      <c r="N15" s="110" t="s">
        <v>343</v>
      </c>
      <c r="O15" s="110"/>
      <c r="P15" s="111" t="s">
        <v>343</v>
      </c>
    </row>
    <row r="16" spans="1:35" s="36" customFormat="1" ht="14.4" customHeight="1" x14ac:dyDescent="0.25">
      <c r="A16" s="229"/>
      <c r="B16" s="381"/>
      <c r="C16" s="69"/>
      <c r="D16" s="69"/>
      <c r="E16" s="69"/>
      <c r="F16" s="69"/>
      <c r="G16" s="69"/>
      <c r="H16" s="69">
        <v>3.5</v>
      </c>
      <c r="I16" s="69"/>
      <c r="J16" s="204" t="s">
        <v>471</v>
      </c>
      <c r="K16" s="110"/>
      <c r="L16" s="110"/>
      <c r="M16" s="110"/>
      <c r="N16" s="110" t="s">
        <v>343</v>
      </c>
      <c r="O16" s="110"/>
      <c r="P16" s="111" t="s">
        <v>343</v>
      </c>
    </row>
    <row r="17" spans="1:23" s="36" customFormat="1" ht="14.4" customHeight="1" x14ac:dyDescent="0.25">
      <c r="A17" s="229"/>
      <c r="B17" s="381"/>
      <c r="C17" s="69"/>
      <c r="D17" s="69"/>
      <c r="E17" s="69"/>
      <c r="F17" s="69"/>
      <c r="G17" s="69"/>
      <c r="H17" s="69"/>
      <c r="I17" s="69"/>
      <c r="J17" s="204" t="s">
        <v>87</v>
      </c>
      <c r="K17" s="110"/>
      <c r="L17" s="110"/>
      <c r="M17" s="110"/>
      <c r="N17" s="110"/>
      <c r="O17" s="110"/>
      <c r="P17" s="111">
        <f>L17*25+M17*298+K17</f>
        <v>0</v>
      </c>
    </row>
    <row r="18" spans="1:23" s="36" customFormat="1" ht="14.4" customHeight="1" x14ac:dyDescent="0.25">
      <c r="A18" s="229"/>
      <c r="B18" s="381"/>
      <c r="C18" s="69">
        <v>1287.9375</v>
      </c>
      <c r="D18" s="69">
        <v>64</v>
      </c>
      <c r="E18" s="69">
        <v>20.6875</v>
      </c>
      <c r="F18" s="69"/>
      <c r="G18" s="69"/>
      <c r="H18" s="69">
        <v>1.31</v>
      </c>
      <c r="I18" s="69"/>
      <c r="J18" s="204" t="s">
        <v>472</v>
      </c>
      <c r="K18" s="110"/>
      <c r="L18" s="110"/>
      <c r="M18" s="110"/>
      <c r="N18" s="69">
        <v>685.42917985924078</v>
      </c>
      <c r="O18" s="110">
        <f t="shared" si="0"/>
        <v>-1.8292279664980871</v>
      </c>
      <c r="P18" s="111">
        <f t="shared" ref="P18:P24" si="1">N18*-(44/12)</f>
        <v>-2513.2403261505492</v>
      </c>
    </row>
    <row r="19" spans="1:23" s="36" customFormat="1" ht="14.4" customHeight="1" x14ac:dyDescent="0.25">
      <c r="A19" s="229"/>
      <c r="B19" s="381">
        <v>67.5625</v>
      </c>
      <c r="C19" s="475"/>
      <c r="D19" s="69">
        <v>296.5</v>
      </c>
      <c r="E19" s="69">
        <v>6.1875</v>
      </c>
      <c r="F19" s="69"/>
      <c r="G19" s="69"/>
      <c r="H19" s="69">
        <v>8.6300000000000008</v>
      </c>
      <c r="I19" s="69"/>
      <c r="J19" s="204" t="s">
        <v>473</v>
      </c>
      <c r="K19" s="110"/>
      <c r="L19" s="110"/>
      <c r="M19" s="110"/>
      <c r="N19" s="110">
        <v>-151.90811849984811</v>
      </c>
      <c r="O19" s="110">
        <f t="shared" si="0"/>
        <v>1.4701130555834117</v>
      </c>
      <c r="P19" s="111">
        <f t="shared" si="1"/>
        <v>556.99643449944301</v>
      </c>
    </row>
    <row r="20" spans="1:23" s="36" customFormat="1" ht="14.4" customHeight="1" x14ac:dyDescent="0.25">
      <c r="A20" s="229"/>
      <c r="B20" s="381">
        <v>26.1875</v>
      </c>
      <c r="C20" s="69">
        <v>1117.875</v>
      </c>
      <c r="D20" s="475"/>
      <c r="E20" s="69">
        <v>0.88</v>
      </c>
      <c r="F20" s="69"/>
      <c r="G20" s="69"/>
      <c r="H20" s="69">
        <v>0.81</v>
      </c>
      <c r="I20" s="69"/>
      <c r="J20" s="204" t="s">
        <v>474</v>
      </c>
      <c r="K20" s="110"/>
      <c r="L20" s="110"/>
      <c r="M20" s="110"/>
      <c r="N20" s="110">
        <v>-117.48253063923949</v>
      </c>
      <c r="O20" s="110">
        <f t="shared" si="0"/>
        <v>0.37597062106392504</v>
      </c>
      <c r="P20" s="111">
        <f t="shared" si="1"/>
        <v>430.76927901054478</v>
      </c>
      <c r="Q20" s="282"/>
      <c r="W20" s="38"/>
    </row>
    <row r="21" spans="1:23" s="36" customFormat="1" ht="14.4" customHeight="1" x14ac:dyDescent="0.25">
      <c r="A21" s="229"/>
      <c r="B21" s="381">
        <v>4.375</v>
      </c>
      <c r="C21" s="69">
        <v>306.1875</v>
      </c>
      <c r="D21" s="69">
        <v>77.625</v>
      </c>
      <c r="E21" s="475"/>
      <c r="F21" s="69"/>
      <c r="G21" s="69"/>
      <c r="H21" s="69"/>
      <c r="I21" s="69"/>
      <c r="J21" s="204" t="s">
        <v>475</v>
      </c>
      <c r="K21" s="110"/>
      <c r="L21" s="110"/>
      <c r="M21" s="110"/>
      <c r="N21" s="110" t="s">
        <v>343</v>
      </c>
      <c r="O21" s="110"/>
      <c r="P21" s="111" t="s">
        <v>343</v>
      </c>
      <c r="U21" s="38"/>
      <c r="V21" s="38"/>
    </row>
    <row r="22" spans="1:23" s="36" customFormat="1" ht="14.4" customHeight="1" x14ac:dyDescent="0.25">
      <c r="A22" s="229"/>
      <c r="B22" s="381">
        <v>1.25</v>
      </c>
      <c r="C22" s="69">
        <v>7.0625</v>
      </c>
      <c r="D22" s="69">
        <v>3.3125</v>
      </c>
      <c r="E22" s="475"/>
      <c r="F22" s="69"/>
      <c r="G22" s="69"/>
      <c r="H22" s="69"/>
      <c r="I22" s="69"/>
      <c r="J22" s="204" t="s">
        <v>476</v>
      </c>
      <c r="K22" s="110"/>
      <c r="L22" s="110"/>
      <c r="M22" s="110"/>
      <c r="N22" s="110" t="s">
        <v>343</v>
      </c>
      <c r="O22" s="110"/>
      <c r="P22" s="111" t="s">
        <v>343</v>
      </c>
      <c r="U22" s="38"/>
      <c r="V22" s="38"/>
    </row>
    <row r="23" spans="1:23" s="36" customFormat="1" ht="14.4" customHeight="1" x14ac:dyDescent="0.25">
      <c r="A23" s="229"/>
      <c r="B23" s="381">
        <v>14.5</v>
      </c>
      <c r="C23" s="69">
        <v>540.125</v>
      </c>
      <c r="D23" s="69">
        <v>19.8125</v>
      </c>
      <c r="E23" s="69">
        <v>0.44</v>
      </c>
      <c r="F23" s="69"/>
      <c r="G23" s="475"/>
      <c r="H23" s="69">
        <v>10.31</v>
      </c>
      <c r="I23" s="69"/>
      <c r="J23" s="204" t="s">
        <v>477</v>
      </c>
      <c r="K23" s="110"/>
      <c r="L23" s="110"/>
      <c r="M23" s="110"/>
      <c r="N23" s="110">
        <v>-721.06847138825049</v>
      </c>
      <c r="O23" s="110">
        <f t="shared" si="0"/>
        <v>4.5180693853227982</v>
      </c>
      <c r="P23" s="111">
        <f t="shared" si="1"/>
        <v>2643.9177284235852</v>
      </c>
      <c r="Q23" s="282"/>
      <c r="R23" s="108"/>
      <c r="U23" s="37"/>
      <c r="V23" s="38"/>
    </row>
    <row r="24" spans="1:23" s="36" customFormat="1" ht="14.4" customHeight="1" x14ac:dyDescent="0.25">
      <c r="A24" s="229"/>
      <c r="B24" s="381"/>
      <c r="C24" s="69"/>
      <c r="D24" s="69"/>
      <c r="E24" s="69"/>
      <c r="F24" s="69"/>
      <c r="G24" s="69"/>
      <c r="H24" s="69">
        <v>0</v>
      </c>
      <c r="I24" s="69"/>
      <c r="J24" s="204" t="s">
        <v>478</v>
      </c>
      <c r="K24" s="110"/>
      <c r="L24" s="110"/>
      <c r="M24" s="110"/>
      <c r="N24" s="110"/>
      <c r="O24" s="110"/>
      <c r="P24" s="111">
        <f t="shared" si="1"/>
        <v>0</v>
      </c>
      <c r="U24" s="38"/>
      <c r="V24" s="38"/>
    </row>
    <row r="25" spans="1:23" s="36" customFormat="1" ht="14.4" customHeight="1" x14ac:dyDescent="0.25">
      <c r="A25" s="229"/>
      <c r="B25" s="239">
        <v>67.5625</v>
      </c>
      <c r="C25" s="382"/>
      <c r="D25" s="382">
        <v>296.5</v>
      </c>
      <c r="E25" s="475"/>
      <c r="F25" s="475"/>
      <c r="G25" s="475"/>
      <c r="H25" s="475"/>
      <c r="I25" s="475"/>
      <c r="J25" s="204" t="s">
        <v>338</v>
      </c>
      <c r="K25" s="110"/>
      <c r="L25" s="110"/>
      <c r="M25" s="110">
        <f>B25*0.74711361403221*44/28/1000</f>
        <v>7.9320785575509006E-2</v>
      </c>
      <c r="N25" s="110"/>
      <c r="O25" s="110"/>
      <c r="P25" s="111">
        <f t="shared" ref="P25:P39" si="2">L25*25+M25*298+K25</f>
        <v>23.637594101501683</v>
      </c>
      <c r="U25" s="38"/>
      <c r="V25" s="38"/>
    </row>
    <row r="26" spans="1:23" s="36" customFormat="1" ht="14.4" customHeight="1" x14ac:dyDescent="0.25">
      <c r="A26" s="229"/>
      <c r="B26" s="240">
        <v>26.1875</v>
      </c>
      <c r="C26" s="241">
        <v>1117.875</v>
      </c>
      <c r="D26" s="241"/>
      <c r="E26" s="476"/>
      <c r="F26" s="476"/>
      <c r="G26" s="476"/>
      <c r="H26" s="476"/>
      <c r="I26" s="476"/>
      <c r="J26" s="205" t="s">
        <v>393</v>
      </c>
      <c r="K26" s="118"/>
      <c r="L26" s="118"/>
      <c r="M26" s="110">
        <f>B26*0.48160436946712*44/28/1000</f>
        <v>1.9818879811374607E-2</v>
      </c>
      <c r="N26" s="118"/>
      <c r="O26" s="118"/>
      <c r="P26" s="111">
        <f t="shared" si="2"/>
        <v>5.9060261837896331</v>
      </c>
      <c r="U26" s="38"/>
      <c r="V26" s="38"/>
    </row>
    <row r="27" spans="1:23" s="36" customFormat="1" ht="14.4" customHeight="1" thickBot="1" x14ac:dyDescent="0.3">
      <c r="A27" s="229"/>
      <c r="B27" s="240">
        <v>14.5</v>
      </c>
      <c r="C27" s="241">
        <v>540.125</v>
      </c>
      <c r="D27" s="241">
        <v>19.8125</v>
      </c>
      <c r="E27" s="476"/>
      <c r="F27" s="476"/>
      <c r="G27" s="476"/>
      <c r="H27" s="476"/>
      <c r="I27" s="476"/>
      <c r="J27" s="205" t="s">
        <v>337</v>
      </c>
      <c r="K27" s="118"/>
      <c r="L27" s="118"/>
      <c r="M27" s="118">
        <f>(B27*0.6578569013052+C27*3.94762807096738+D27*7.49053525451861)*44/28/1000</f>
        <v>3.5988193475619492</v>
      </c>
      <c r="N27" s="118"/>
      <c r="O27" s="118"/>
      <c r="P27" s="119">
        <f t="shared" si="2"/>
        <v>1072.4481655734608</v>
      </c>
      <c r="Q27" s="283"/>
      <c r="U27" s="38"/>
      <c r="V27" s="38"/>
    </row>
    <row r="28" spans="1:23" s="36" customFormat="1" ht="14.4" customHeight="1" x14ac:dyDescent="0.25">
      <c r="A28" s="229"/>
      <c r="B28" s="242">
        <v>449.125</v>
      </c>
      <c r="C28" s="185">
        <v>1663.0625</v>
      </c>
      <c r="D28" s="185">
        <v>231.875</v>
      </c>
      <c r="E28" s="185"/>
      <c r="F28" s="185"/>
      <c r="G28" s="185"/>
      <c r="H28" s="185"/>
      <c r="I28" s="185"/>
      <c r="J28" s="206" t="s">
        <v>394</v>
      </c>
      <c r="K28" s="120">
        <f>(C28*216.31/1000)+(D28*239.06/1000)</f>
        <v>415.169086875</v>
      </c>
      <c r="L28" s="120">
        <f>(B28*64.17/1000)+(C28*43.01/1000)+(D28*57.26/1000)</f>
        <v>113.62583187499999</v>
      </c>
      <c r="M28" s="120">
        <f>(B28*4.39/1000)</f>
        <v>1.9716587499999998</v>
      </c>
      <c r="N28" s="120"/>
      <c r="O28" s="120">
        <f t="shared" si="0"/>
        <v>1.6396189057459005</v>
      </c>
      <c r="P28" s="121">
        <f t="shared" si="2"/>
        <v>3843.3691912499999</v>
      </c>
      <c r="U28" s="38"/>
      <c r="V28" s="38"/>
    </row>
    <row r="29" spans="1:23" s="36" customFormat="1" ht="14.4" customHeight="1" x14ac:dyDescent="0.25">
      <c r="A29" s="229"/>
      <c r="B29" s="381"/>
      <c r="C29" s="69">
        <v>1063.6875</v>
      </c>
      <c r="D29" s="69">
        <v>175.125</v>
      </c>
      <c r="E29" s="69"/>
      <c r="F29" s="69"/>
      <c r="G29" s="69"/>
      <c r="H29" s="69"/>
      <c r="I29" s="69"/>
      <c r="J29" s="204" t="s">
        <v>395</v>
      </c>
      <c r="K29" s="110">
        <f>(C29*216.31/1000)+(D29*239.06/1000)</f>
        <v>271.95162562500002</v>
      </c>
      <c r="L29" s="110">
        <f>(C29*43.01/1000)+(D29*57.26/1000)</f>
        <v>55.776856874999993</v>
      </c>
      <c r="M29" s="110"/>
      <c r="N29" s="110"/>
      <c r="O29" s="110">
        <f t="shared" si="0"/>
        <v>1.3451374178901163</v>
      </c>
      <c r="P29" s="111">
        <f t="shared" si="2"/>
        <v>1666.3730474999998</v>
      </c>
      <c r="U29" s="38"/>
      <c r="V29" s="38"/>
    </row>
    <row r="30" spans="1:23" s="36" customFormat="1" ht="14.4" customHeight="1" x14ac:dyDescent="0.25">
      <c r="A30" s="229"/>
      <c r="B30" s="381"/>
      <c r="C30" s="69">
        <v>129.6875</v>
      </c>
      <c r="D30" s="69">
        <v>17.75</v>
      </c>
      <c r="E30" s="69"/>
      <c r="F30" s="69"/>
      <c r="G30" s="69"/>
      <c r="H30" s="69"/>
      <c r="I30" s="69"/>
      <c r="J30" s="204" t="s">
        <v>396</v>
      </c>
      <c r="K30" s="110"/>
      <c r="L30" s="110">
        <f>(C30+D30)*19.5/1000</f>
        <v>2.8750312500000001</v>
      </c>
      <c r="M30" s="110"/>
      <c r="N30" s="110"/>
      <c r="O30" s="110"/>
      <c r="P30" s="111">
        <f t="shared" si="2"/>
        <v>71.875781250000003</v>
      </c>
      <c r="U30" s="38"/>
      <c r="V30" s="38"/>
    </row>
    <row r="31" spans="1:23" s="36" customFormat="1" ht="14.4" customHeight="1" x14ac:dyDescent="0.25">
      <c r="A31" s="229"/>
      <c r="B31" s="381"/>
      <c r="C31" s="69">
        <v>107.4375</v>
      </c>
      <c r="D31" s="69">
        <v>42.4375</v>
      </c>
      <c r="E31" s="69"/>
      <c r="F31" s="69"/>
      <c r="G31" s="69"/>
      <c r="H31" s="69"/>
      <c r="I31" s="69"/>
      <c r="J31" s="204" t="s">
        <v>397</v>
      </c>
      <c r="K31" s="110"/>
      <c r="L31" s="110">
        <f>(C31+D31)*39/1000</f>
        <v>5.8451250000000003</v>
      </c>
      <c r="M31" s="110"/>
      <c r="N31" s="110"/>
      <c r="O31" s="110"/>
      <c r="P31" s="111">
        <f t="shared" si="2"/>
        <v>146.12812500000001</v>
      </c>
      <c r="U31" s="38"/>
      <c r="V31" s="38"/>
    </row>
    <row r="32" spans="1:23" s="36" customFormat="1" ht="14.4" customHeight="1" x14ac:dyDescent="0.25">
      <c r="A32" s="229"/>
      <c r="B32" s="381"/>
      <c r="C32" s="69"/>
      <c r="D32" s="69"/>
      <c r="E32" s="69"/>
      <c r="F32" s="69"/>
      <c r="G32" s="69"/>
      <c r="H32" s="69"/>
      <c r="I32" s="69"/>
      <c r="J32" s="204" t="s">
        <v>88</v>
      </c>
      <c r="K32" s="110"/>
      <c r="L32" s="110">
        <f>H32*33.2/1000</f>
        <v>0</v>
      </c>
      <c r="M32" s="110">
        <f>H32*0.47/1000</f>
        <v>0</v>
      </c>
      <c r="N32" s="110"/>
      <c r="O32" s="110"/>
      <c r="P32" s="111">
        <f>L32*25+M32*298</f>
        <v>0</v>
      </c>
      <c r="U32" s="38"/>
      <c r="V32" s="38"/>
    </row>
    <row r="33" spans="1:22" s="36" customFormat="1" ht="14.4" customHeight="1" x14ac:dyDescent="0.25">
      <c r="A33" s="229"/>
      <c r="B33" s="381"/>
      <c r="C33" s="69"/>
      <c r="D33" s="69"/>
      <c r="E33" s="69">
        <v>2122.4375</v>
      </c>
      <c r="F33" s="69"/>
      <c r="G33" s="69"/>
      <c r="H33" s="69"/>
      <c r="I33" s="69"/>
      <c r="J33" s="204" t="s">
        <v>479</v>
      </c>
      <c r="K33" s="110"/>
      <c r="L33" s="110">
        <f>E33*287.55/1000</f>
        <v>610.30690312500008</v>
      </c>
      <c r="M33" s="110"/>
      <c r="N33" s="110"/>
      <c r="O33" s="110">
        <f t="shared" si="0"/>
        <v>7.1887500000000015</v>
      </c>
      <c r="P33" s="111">
        <f t="shared" si="2"/>
        <v>15257.672578125002</v>
      </c>
      <c r="Q33" s="283"/>
      <c r="U33" s="38"/>
      <c r="V33" s="38"/>
    </row>
    <row r="34" spans="1:22" s="36" customFormat="1" ht="14.4" customHeight="1" x14ac:dyDescent="0.25">
      <c r="A34" s="229"/>
      <c r="B34" s="381"/>
      <c r="C34" s="69"/>
      <c r="D34" s="69"/>
      <c r="E34" s="69"/>
      <c r="F34" s="69"/>
      <c r="G34" s="69"/>
      <c r="H34" s="69"/>
      <c r="I34" s="69"/>
      <c r="J34" s="204" t="s">
        <v>89</v>
      </c>
      <c r="K34" s="110"/>
      <c r="L34" s="110">
        <f>D34*1.6698</f>
        <v>0</v>
      </c>
      <c r="M34" s="110">
        <f>D34*0.15246</f>
        <v>0</v>
      </c>
      <c r="N34" s="110"/>
      <c r="O34" s="110"/>
      <c r="P34" s="111">
        <f t="shared" si="2"/>
        <v>0</v>
      </c>
      <c r="U34" s="38"/>
      <c r="V34" s="38"/>
    </row>
    <row r="35" spans="1:22" s="36" customFormat="1" ht="14.4" customHeight="1" x14ac:dyDescent="0.25">
      <c r="A35" s="229"/>
      <c r="B35" s="381"/>
      <c r="C35" s="69"/>
      <c r="D35" s="69">
        <v>0</v>
      </c>
      <c r="E35" s="69"/>
      <c r="F35" s="69"/>
      <c r="G35" s="69"/>
      <c r="H35" s="97"/>
      <c r="I35" s="110"/>
      <c r="J35" s="204" t="s">
        <v>90</v>
      </c>
      <c r="K35" s="110"/>
      <c r="L35" s="110">
        <f>D35*1.6698</f>
        <v>0</v>
      </c>
      <c r="M35" s="110">
        <f>D35*0.15246</f>
        <v>0</v>
      </c>
      <c r="N35" s="110"/>
      <c r="O35" s="110"/>
      <c r="P35" s="111">
        <f t="shared" si="2"/>
        <v>0</v>
      </c>
      <c r="Q35" s="282"/>
      <c r="U35" s="38"/>
      <c r="V35" s="38"/>
    </row>
    <row r="36" spans="1:22" s="36" customFormat="1" ht="18.75" customHeight="1" x14ac:dyDescent="0.25">
      <c r="A36" s="229"/>
      <c r="B36" s="563" t="s">
        <v>235</v>
      </c>
      <c r="C36" s="564"/>
      <c r="D36" s="564"/>
      <c r="E36" s="564"/>
      <c r="F36" s="564"/>
      <c r="G36" s="564"/>
      <c r="H36" s="564"/>
      <c r="I36" s="564"/>
      <c r="J36" s="564"/>
      <c r="K36" s="564"/>
      <c r="L36" s="564"/>
      <c r="M36" s="564"/>
      <c r="N36" s="564"/>
      <c r="O36" s="564"/>
      <c r="P36" s="565"/>
      <c r="U36" s="38"/>
    </row>
    <row r="37" spans="1:22" s="36" customFormat="1" x14ac:dyDescent="0.25">
      <c r="A37" s="230"/>
      <c r="B37" s="113"/>
      <c r="C37" s="110"/>
      <c r="D37" s="110"/>
      <c r="E37" s="110"/>
      <c r="F37" s="110"/>
      <c r="G37" s="110"/>
      <c r="H37" s="110"/>
      <c r="I37" s="69">
        <v>-493762.66243775189</v>
      </c>
      <c r="J37" s="207" t="s">
        <v>91</v>
      </c>
      <c r="K37" s="110">
        <v>7287.400100579539</v>
      </c>
      <c r="L37" s="110"/>
      <c r="M37" s="110"/>
      <c r="N37" s="110"/>
      <c r="O37" s="110"/>
      <c r="P37" s="111">
        <f t="shared" si="2"/>
        <v>7287.400100579539</v>
      </c>
    </row>
    <row r="38" spans="1:22" s="36" customFormat="1" x14ac:dyDescent="0.25">
      <c r="A38" s="230"/>
      <c r="B38" s="113"/>
      <c r="C38" s="110"/>
      <c r="D38" s="110"/>
      <c r="E38" s="110"/>
      <c r="F38" s="110"/>
      <c r="G38" s="110"/>
      <c r="H38" s="110"/>
      <c r="I38" s="69">
        <v>211587.35748800635</v>
      </c>
      <c r="J38" s="207" t="s">
        <v>92</v>
      </c>
      <c r="K38" s="110">
        <v>-3668.2665066029444</v>
      </c>
      <c r="L38" s="110"/>
      <c r="M38" s="110"/>
      <c r="N38" s="110"/>
      <c r="O38" s="110"/>
      <c r="P38" s="111">
        <f t="shared" si="2"/>
        <v>-3668.2665066029444</v>
      </c>
    </row>
    <row r="39" spans="1:22" s="36" customFormat="1" ht="14.4" thickBot="1" x14ac:dyDescent="0.3">
      <c r="A39" s="230"/>
      <c r="B39" s="149"/>
      <c r="C39" s="118"/>
      <c r="D39" s="118"/>
      <c r="E39" s="118"/>
      <c r="F39" s="118"/>
      <c r="G39" s="118"/>
      <c r="H39" s="118"/>
      <c r="I39" s="471">
        <v>-152253.59746839432</v>
      </c>
      <c r="J39" s="219" t="s">
        <v>93</v>
      </c>
      <c r="K39" s="118">
        <v>3633.9186025551116</v>
      </c>
      <c r="L39" s="118"/>
      <c r="M39" s="118"/>
      <c r="N39" s="118"/>
      <c r="O39" s="118"/>
      <c r="P39" s="119">
        <f t="shared" si="2"/>
        <v>3633.9186025551116</v>
      </c>
      <c r="S39" s="38"/>
    </row>
    <row r="40" spans="1:22" s="36" customFormat="1" ht="14.4" thickBot="1" x14ac:dyDescent="0.3">
      <c r="B40" s="472"/>
      <c r="C40" s="473"/>
      <c r="D40" s="473"/>
      <c r="E40" s="473"/>
      <c r="F40" s="473"/>
      <c r="G40" s="473"/>
      <c r="H40" s="473"/>
      <c r="I40" s="473"/>
      <c r="J40" s="474" t="s">
        <v>94</v>
      </c>
      <c r="K40" s="145">
        <f>SUM(K10:K35)+SUM(K37:K39)</f>
        <v>7940.1729090317058</v>
      </c>
      <c r="L40" s="145">
        <f>SUM(L10:L35)+SUM(L37:L39)</f>
        <v>788.42974812500006</v>
      </c>
      <c r="M40" s="145">
        <f>SUM(M10:M35)+SUM(M37:M39)</f>
        <v>5.6696177629488327</v>
      </c>
      <c r="N40" s="145">
        <f>SUM(N10:N35)+SUM(N37:N39)</f>
        <v>-39494.001827932283</v>
      </c>
      <c r="O40" s="145"/>
      <c r="P40" s="151">
        <f>SUM(P10:P35,P37:P39)</f>
        <v>174151.80274126722</v>
      </c>
    </row>
    <row r="41" spans="1:22" s="36" customFormat="1" x14ac:dyDescent="0.25">
      <c r="M41" s="37"/>
      <c r="P41" s="38"/>
    </row>
    <row r="42" spans="1:22" s="36" customFormat="1" ht="23.25" customHeight="1" x14ac:dyDescent="0.25">
      <c r="B42" s="99"/>
      <c r="M42" s="37"/>
      <c r="P42" s="38"/>
    </row>
    <row r="43" spans="1:22" s="36" customFormat="1" x14ac:dyDescent="0.25">
      <c r="M43" s="37"/>
      <c r="P43" s="38"/>
    </row>
    <row r="44" spans="1:22" s="36" customFormat="1" x14ac:dyDescent="0.25">
      <c r="B44" s="108"/>
      <c r="M44" s="37"/>
      <c r="P44" s="38"/>
    </row>
    <row r="45" spans="1:22" s="36" customFormat="1" x14ac:dyDescent="0.25">
      <c r="M45" s="37"/>
      <c r="P45" s="38"/>
    </row>
    <row r="46" spans="1:22" s="36" customFormat="1" x14ac:dyDescent="0.25">
      <c r="M46" s="37"/>
      <c r="P46" s="38"/>
    </row>
    <row r="47" spans="1:22" s="36" customFormat="1" x14ac:dyDescent="0.25">
      <c r="M47" s="37"/>
      <c r="P47" s="38"/>
    </row>
    <row r="48" spans="1:22" s="36" customFormat="1" x14ac:dyDescent="0.25">
      <c r="M48" s="37"/>
      <c r="P48" s="38"/>
    </row>
    <row r="49" spans="13:16" s="36" customFormat="1" x14ac:dyDescent="0.25">
      <c r="M49" s="37"/>
      <c r="P49" s="38"/>
    </row>
    <row r="50" spans="13:16" s="36" customFormat="1" x14ac:dyDescent="0.25">
      <c r="M50" s="37"/>
      <c r="P50" s="38"/>
    </row>
    <row r="51" spans="13:16" s="36" customFormat="1" x14ac:dyDescent="0.25">
      <c r="M51" s="37"/>
      <c r="P51" s="38"/>
    </row>
    <row r="52" spans="13:16" s="36" customFormat="1" x14ac:dyDescent="0.25">
      <c r="M52" s="37"/>
      <c r="P52" s="38"/>
    </row>
    <row r="53" spans="13:16" s="36" customFormat="1" x14ac:dyDescent="0.25">
      <c r="M53" s="37"/>
      <c r="P53" s="38"/>
    </row>
    <row r="54" spans="13:16" s="36" customFormat="1" x14ac:dyDescent="0.25">
      <c r="M54" s="37"/>
      <c r="P54" s="38"/>
    </row>
    <row r="55" spans="13:16" s="36" customFormat="1" x14ac:dyDescent="0.25">
      <c r="M55" s="37"/>
      <c r="P55" s="38"/>
    </row>
    <row r="56" spans="13:16" s="36" customFormat="1" x14ac:dyDescent="0.25">
      <c r="M56" s="37"/>
      <c r="P56" s="38"/>
    </row>
    <row r="57" spans="13:16" s="36" customFormat="1" x14ac:dyDescent="0.25">
      <c r="M57" s="37"/>
      <c r="P57" s="38"/>
    </row>
    <row r="58" spans="13:16" s="36" customFormat="1" x14ac:dyDescent="0.25">
      <c r="M58" s="37"/>
      <c r="P58" s="38"/>
    </row>
    <row r="59" spans="13:16" s="36" customFormat="1" x14ac:dyDescent="0.25">
      <c r="M59" s="37"/>
      <c r="P59" s="38"/>
    </row>
    <row r="60" spans="13:16" s="36" customFormat="1" x14ac:dyDescent="0.25">
      <c r="M60" s="37"/>
      <c r="P60" s="38"/>
    </row>
    <row r="61" spans="13:16" s="36" customFormat="1" x14ac:dyDescent="0.25">
      <c r="M61" s="37"/>
      <c r="P61" s="38"/>
    </row>
    <row r="62" spans="13:16" s="36" customFormat="1" x14ac:dyDescent="0.25">
      <c r="M62" s="37"/>
      <c r="P62" s="38"/>
    </row>
    <row r="63" spans="13:16" s="36" customFormat="1" x14ac:dyDescent="0.25">
      <c r="M63" s="37"/>
      <c r="P63" s="38"/>
    </row>
    <row r="64" spans="13:16" s="36" customFormat="1" x14ac:dyDescent="0.25">
      <c r="M64" s="37"/>
      <c r="P64" s="38"/>
    </row>
    <row r="65" spans="13:16" s="36" customFormat="1" x14ac:dyDescent="0.25">
      <c r="M65" s="37"/>
      <c r="P65" s="38"/>
    </row>
    <row r="66" spans="13:16" s="36" customFormat="1" x14ac:dyDescent="0.25">
      <c r="M66" s="37"/>
      <c r="P66" s="38"/>
    </row>
    <row r="67" spans="13:16" s="36" customFormat="1" x14ac:dyDescent="0.25">
      <c r="M67" s="37"/>
      <c r="P67" s="38"/>
    </row>
    <row r="68" spans="13:16" s="36" customFormat="1" x14ac:dyDescent="0.25">
      <c r="M68" s="37"/>
      <c r="P68" s="38"/>
    </row>
    <row r="69" spans="13:16" s="36" customFormat="1" x14ac:dyDescent="0.25">
      <c r="M69" s="37"/>
      <c r="P69" s="38"/>
    </row>
    <row r="70" spans="13:16" s="36" customFormat="1" x14ac:dyDescent="0.25">
      <c r="M70" s="37"/>
      <c r="P70" s="38"/>
    </row>
    <row r="71" spans="13:16" s="36" customFormat="1" x14ac:dyDescent="0.25">
      <c r="M71" s="37"/>
      <c r="P71" s="38"/>
    </row>
    <row r="72" spans="13:16" s="36" customFormat="1" x14ac:dyDescent="0.25">
      <c r="M72" s="37"/>
      <c r="P72" s="38"/>
    </row>
    <row r="73" spans="13:16" s="36" customFormat="1" x14ac:dyDescent="0.25">
      <c r="M73" s="37"/>
      <c r="P73" s="38"/>
    </row>
    <row r="74" spans="13:16" s="36" customFormat="1" x14ac:dyDescent="0.25">
      <c r="M74" s="37"/>
      <c r="P74" s="38"/>
    </row>
    <row r="75" spans="13:16" s="36" customFormat="1" x14ac:dyDescent="0.25">
      <c r="M75" s="37"/>
      <c r="P75" s="38"/>
    </row>
    <row r="76" spans="13:16" s="36" customFormat="1" x14ac:dyDescent="0.25">
      <c r="M76" s="37"/>
      <c r="P76" s="38"/>
    </row>
    <row r="77" spans="13:16" s="36" customFormat="1" x14ac:dyDescent="0.25">
      <c r="M77" s="37"/>
      <c r="P77" s="38"/>
    </row>
    <row r="78" spans="13:16" s="36" customFormat="1" x14ac:dyDescent="0.25">
      <c r="M78" s="37"/>
      <c r="P78" s="38"/>
    </row>
    <row r="79" spans="13:16" s="36" customFormat="1" x14ac:dyDescent="0.25">
      <c r="M79" s="37"/>
      <c r="P79" s="38"/>
    </row>
    <row r="80" spans="13:16" s="36" customFormat="1" x14ac:dyDescent="0.25">
      <c r="M80" s="37"/>
      <c r="P80" s="38"/>
    </row>
    <row r="81" spans="13:16" s="36" customFormat="1" x14ac:dyDescent="0.25">
      <c r="M81" s="37"/>
      <c r="P81" s="38"/>
    </row>
    <row r="82" spans="13:16" s="36" customFormat="1" x14ac:dyDescent="0.25">
      <c r="M82" s="37"/>
      <c r="P82" s="38"/>
    </row>
    <row r="83" spans="13:16" s="36" customFormat="1" x14ac:dyDescent="0.25">
      <c r="M83" s="37"/>
      <c r="P83" s="38"/>
    </row>
    <row r="84" spans="13:16" s="36" customFormat="1" x14ac:dyDescent="0.25">
      <c r="M84" s="37"/>
      <c r="P84" s="38"/>
    </row>
    <row r="85" spans="13:16" s="36" customFormat="1" x14ac:dyDescent="0.25">
      <c r="M85" s="37"/>
      <c r="P85" s="38"/>
    </row>
    <row r="86" spans="13:16" s="36" customFormat="1" x14ac:dyDescent="0.25">
      <c r="M86" s="37"/>
      <c r="P86" s="38"/>
    </row>
    <row r="87" spans="13:16" s="36" customFormat="1" x14ac:dyDescent="0.25">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06"/>
  <sheetViews>
    <sheetView zoomScaleNormal="100" workbookViewId="0">
      <selection sqref="A1:XFD1048576"/>
    </sheetView>
  </sheetViews>
  <sheetFormatPr defaultColWidth="9.109375" defaultRowHeight="13.8" x14ac:dyDescent="0.25"/>
  <cols>
    <col min="1" max="1" width="23.33203125" style="36" customWidth="1"/>
    <col min="2" max="3" width="8.5546875" style="36" customWidth="1"/>
    <col min="4" max="8" width="9.109375" style="36"/>
    <col min="9" max="9" width="64.5546875" style="46" customWidth="1"/>
    <col min="10" max="10" width="9.44140625" style="36" customWidth="1"/>
    <col min="11" max="13" width="9.109375" style="36"/>
    <col min="14" max="14" width="9.5546875" style="36" bestFit="1" customWidth="1"/>
    <col min="15" max="16384" width="9.109375" style="36"/>
  </cols>
  <sheetData>
    <row r="1" spans="1:14" ht="14.4" thickBot="1" x14ac:dyDescent="0.3">
      <c r="I1" s="36"/>
    </row>
    <row r="2" spans="1:14" x14ac:dyDescent="0.25">
      <c r="A2" s="500" t="s">
        <v>31</v>
      </c>
      <c r="B2" s="501"/>
      <c r="C2" s="502"/>
      <c r="D2" s="221">
        <v>2018</v>
      </c>
      <c r="F2" s="6"/>
      <c r="G2" s="6"/>
      <c r="H2" s="6"/>
    </row>
    <row r="3" spans="1:14" ht="15" thickBot="1" x14ac:dyDescent="0.3">
      <c r="A3" s="222" t="s">
        <v>273</v>
      </c>
      <c r="B3" s="223" t="s">
        <v>274</v>
      </c>
      <c r="C3" s="223"/>
      <c r="D3" s="243"/>
      <c r="F3" s="244"/>
      <c r="G3" s="244"/>
      <c r="H3" s="244"/>
      <c r="I3" s="94" t="s">
        <v>237</v>
      </c>
    </row>
    <row r="4" spans="1:14" ht="28.2" x14ac:dyDescent="0.25">
      <c r="F4" s="6"/>
      <c r="G4" s="6"/>
      <c r="H4" s="6"/>
      <c r="I4" s="44" t="s">
        <v>238</v>
      </c>
    </row>
    <row r="5" spans="1:14" ht="14.4" x14ac:dyDescent="0.25">
      <c r="F5" s="6"/>
      <c r="G5" s="6"/>
      <c r="H5" s="6"/>
      <c r="I5" s="94" t="s">
        <v>484</v>
      </c>
    </row>
    <row r="6" spans="1:14" x14ac:dyDescent="0.25">
      <c r="F6" s="6"/>
      <c r="G6" s="6"/>
      <c r="H6" s="6"/>
      <c r="I6" s="36"/>
    </row>
    <row r="7" spans="1:14" x14ac:dyDescent="0.25">
      <c r="I7" s="36"/>
    </row>
    <row r="8" spans="1:14" x14ac:dyDescent="0.25">
      <c r="I8" s="36"/>
    </row>
    <row r="9" spans="1:14" ht="15" thickBot="1" x14ac:dyDescent="0.35">
      <c r="B9" s="549" t="s">
        <v>342</v>
      </c>
      <c r="C9" s="549"/>
      <c r="D9" s="549"/>
      <c r="E9" s="549"/>
      <c r="F9" s="549"/>
      <c r="G9" s="549"/>
      <c r="H9" s="549"/>
      <c r="I9" s="245" t="s">
        <v>228</v>
      </c>
      <c r="J9" s="549" t="s">
        <v>230</v>
      </c>
      <c r="K9" s="549"/>
      <c r="L9" s="549"/>
      <c r="M9" s="549"/>
      <c r="N9" s="549"/>
    </row>
    <row r="10" spans="1:14" ht="130.5" customHeight="1" thickBot="1" x14ac:dyDescent="0.3">
      <c r="B10" s="210" t="s">
        <v>239</v>
      </c>
      <c r="C10" s="211" t="s">
        <v>240</v>
      </c>
      <c r="D10" s="211" t="s">
        <v>241</v>
      </c>
      <c r="E10" s="211" t="s">
        <v>242</v>
      </c>
      <c r="F10" s="211" t="s">
        <v>243</v>
      </c>
      <c r="G10" s="211" t="s">
        <v>244</v>
      </c>
      <c r="H10" s="211" t="s">
        <v>245</v>
      </c>
      <c r="I10" s="232"/>
      <c r="J10" s="213" t="s">
        <v>49</v>
      </c>
      <c r="K10" s="211" t="s">
        <v>376</v>
      </c>
      <c r="L10" s="214" t="s">
        <v>377</v>
      </c>
      <c r="M10" s="215" t="s">
        <v>378</v>
      </c>
      <c r="N10" s="215" t="s">
        <v>52</v>
      </c>
    </row>
    <row r="11" spans="1:14" x14ac:dyDescent="0.25">
      <c r="A11" s="545"/>
      <c r="B11" s="126"/>
      <c r="C11" s="127"/>
      <c r="D11" s="127"/>
      <c r="E11" s="127"/>
      <c r="F11" s="127"/>
      <c r="G11" s="127"/>
      <c r="H11" s="128"/>
      <c r="I11" s="233" t="s">
        <v>246</v>
      </c>
      <c r="J11" s="139"/>
      <c r="K11" s="140"/>
      <c r="L11" s="140"/>
      <c r="M11" s="392"/>
      <c r="N11" s="121">
        <f>J11+K11*25+L11*298</f>
        <v>0</v>
      </c>
    </row>
    <row r="12" spans="1:14" x14ac:dyDescent="0.25">
      <c r="A12" s="545"/>
      <c r="B12" s="113"/>
      <c r="C12" s="130"/>
      <c r="D12" s="130"/>
      <c r="E12" s="130"/>
      <c r="F12" s="130"/>
      <c r="G12" s="130"/>
      <c r="H12" s="131"/>
      <c r="I12" s="207" t="s">
        <v>247</v>
      </c>
      <c r="J12" s="141"/>
      <c r="K12" s="142"/>
      <c r="L12" s="142"/>
      <c r="M12" s="110"/>
      <c r="N12" s="111">
        <f>J12+K12*25+L12*298</f>
        <v>0</v>
      </c>
    </row>
    <row r="13" spans="1:14" x14ac:dyDescent="0.25">
      <c r="A13" s="545"/>
      <c r="B13" s="132"/>
      <c r="C13" s="130"/>
      <c r="D13" s="130"/>
      <c r="E13" s="130"/>
      <c r="F13" s="130"/>
      <c r="G13" s="130"/>
      <c r="H13" s="131"/>
      <c r="I13" s="207" t="s">
        <v>248</v>
      </c>
      <c r="J13" s="141"/>
      <c r="K13" s="142"/>
      <c r="L13" s="142"/>
      <c r="M13" s="110"/>
      <c r="N13" s="111">
        <f t="shared" ref="N13:N41" si="0">J13+K13*25+L13*298</f>
        <v>0</v>
      </c>
    </row>
    <row r="14" spans="1:14" x14ac:dyDescent="0.25">
      <c r="A14" s="545"/>
      <c r="B14" s="132"/>
      <c r="C14" s="130"/>
      <c r="D14" s="130"/>
      <c r="E14" s="130"/>
      <c r="F14" s="130"/>
      <c r="G14" s="130"/>
      <c r="H14" s="131"/>
      <c r="I14" s="207" t="s">
        <v>249</v>
      </c>
      <c r="J14" s="141"/>
      <c r="K14" s="142"/>
      <c r="L14" s="142"/>
      <c r="M14" s="110"/>
      <c r="N14" s="111">
        <f t="shared" si="0"/>
        <v>0</v>
      </c>
    </row>
    <row r="15" spans="1:14" x14ac:dyDescent="0.25">
      <c r="A15" s="545"/>
      <c r="B15" s="132">
        <v>757.34184289913139</v>
      </c>
      <c r="C15" s="130"/>
      <c r="D15" s="130"/>
      <c r="E15" s="130"/>
      <c r="F15" s="130"/>
      <c r="G15" s="130"/>
      <c r="H15" s="131"/>
      <c r="I15" s="207" t="s">
        <v>250</v>
      </c>
      <c r="J15" s="141">
        <f>B15*0.41</f>
        <v>310.51015558864384</v>
      </c>
      <c r="K15" s="142"/>
      <c r="L15" s="142"/>
      <c r="M15" s="110"/>
      <c r="N15" s="111">
        <f t="shared" si="0"/>
        <v>310.51015558864384</v>
      </c>
    </row>
    <row r="16" spans="1:14" x14ac:dyDescent="0.25">
      <c r="B16" s="113"/>
      <c r="C16" s="110"/>
      <c r="D16" s="110"/>
      <c r="E16" s="110"/>
      <c r="F16" s="110"/>
      <c r="G16" s="110"/>
      <c r="H16" s="285"/>
      <c r="I16" s="207" t="s">
        <v>405</v>
      </c>
      <c r="J16" s="115"/>
      <c r="K16" s="110"/>
      <c r="L16" s="110"/>
      <c r="M16" s="110"/>
      <c r="N16" s="111">
        <f t="shared" si="0"/>
        <v>0</v>
      </c>
    </row>
    <row r="17" spans="2:14" x14ac:dyDescent="0.25">
      <c r="B17" s="149"/>
      <c r="C17" s="118"/>
      <c r="D17" s="118"/>
      <c r="E17" s="118"/>
      <c r="F17" s="118"/>
      <c r="G17" s="118"/>
      <c r="H17" s="286"/>
      <c r="I17" s="219" t="s">
        <v>406</v>
      </c>
      <c r="J17" s="384"/>
      <c r="K17" s="118"/>
      <c r="L17" s="118"/>
      <c r="M17" s="118"/>
      <c r="N17" s="111">
        <f t="shared" si="0"/>
        <v>0</v>
      </c>
    </row>
    <row r="18" spans="2:14" x14ac:dyDescent="0.25">
      <c r="B18" s="113"/>
      <c r="C18" s="110"/>
      <c r="D18" s="110"/>
      <c r="E18" s="110"/>
      <c r="F18" s="110"/>
      <c r="G18" s="110"/>
      <c r="H18" s="285"/>
      <c r="I18" s="207" t="s">
        <v>407</v>
      </c>
      <c r="J18" s="115"/>
      <c r="K18" s="110"/>
      <c r="L18" s="110"/>
      <c r="M18" s="110"/>
      <c r="N18" s="111">
        <f t="shared" si="0"/>
        <v>0</v>
      </c>
    </row>
    <row r="19" spans="2:14" ht="14.4" thickBot="1" x14ac:dyDescent="0.3">
      <c r="B19" s="393"/>
      <c r="C19" s="394"/>
      <c r="D19" s="394"/>
      <c r="E19" s="394"/>
      <c r="F19" s="394"/>
      <c r="G19" s="394"/>
      <c r="H19" s="395"/>
      <c r="I19" s="396" t="s">
        <v>485</v>
      </c>
      <c r="J19" s="397"/>
      <c r="K19" s="394"/>
      <c r="L19" s="394"/>
      <c r="M19" s="394"/>
      <c r="N19" s="111">
        <f t="shared" si="0"/>
        <v>0</v>
      </c>
    </row>
    <row r="20" spans="2:14" x14ac:dyDescent="0.25">
      <c r="B20" s="287"/>
      <c r="C20" s="120">
        <v>1000.0082672883208</v>
      </c>
      <c r="D20" s="120"/>
      <c r="E20" s="120"/>
      <c r="F20" s="120"/>
      <c r="G20" s="120"/>
      <c r="H20" s="288"/>
      <c r="I20" s="233" t="s">
        <v>251</v>
      </c>
      <c r="J20" s="398">
        <f>C20*0.02</f>
        <v>20.000165345766415</v>
      </c>
      <c r="K20" s="120"/>
      <c r="L20" s="120"/>
      <c r="M20" s="120"/>
      <c r="N20" s="121">
        <f t="shared" si="0"/>
        <v>20.000165345766415</v>
      </c>
    </row>
    <row r="21" spans="2:14" x14ac:dyDescent="0.25">
      <c r="B21" s="113"/>
      <c r="C21" s="110"/>
      <c r="D21" s="110"/>
      <c r="E21" s="110"/>
      <c r="F21" s="110"/>
      <c r="G21" s="110"/>
      <c r="H21" s="285"/>
      <c r="I21" s="207" t="s">
        <v>252</v>
      </c>
      <c r="J21" s="115"/>
      <c r="K21" s="110"/>
      <c r="L21" s="110"/>
      <c r="M21" s="110"/>
      <c r="N21" s="111">
        <f t="shared" si="0"/>
        <v>0</v>
      </c>
    </row>
    <row r="22" spans="2:14" x14ac:dyDescent="0.25">
      <c r="B22" s="113"/>
      <c r="C22" s="110"/>
      <c r="D22" s="110"/>
      <c r="E22" s="110"/>
      <c r="F22" s="110"/>
      <c r="G22" s="110"/>
      <c r="H22" s="285"/>
      <c r="I22" s="207" t="s">
        <v>253</v>
      </c>
      <c r="J22" s="115"/>
      <c r="K22" s="110"/>
      <c r="L22" s="110"/>
      <c r="M22" s="110"/>
      <c r="N22" s="111">
        <f t="shared" si="0"/>
        <v>0</v>
      </c>
    </row>
    <row r="23" spans="2:14" ht="14.4" thickBot="1" x14ac:dyDescent="0.3">
      <c r="B23" s="123"/>
      <c r="C23" s="124"/>
      <c r="D23" s="124"/>
      <c r="E23" s="124"/>
      <c r="F23" s="124"/>
      <c r="G23" s="124"/>
      <c r="H23" s="289"/>
      <c r="I23" s="208" t="s">
        <v>254</v>
      </c>
      <c r="J23" s="399"/>
      <c r="K23" s="124"/>
      <c r="L23" s="124"/>
      <c r="M23" s="124"/>
      <c r="N23" s="125">
        <f t="shared" si="0"/>
        <v>0</v>
      </c>
    </row>
    <row r="24" spans="2:14" ht="14.4" thickBot="1" x14ac:dyDescent="0.3">
      <c r="B24" s="246"/>
      <c r="C24" s="145"/>
      <c r="D24" s="145">
        <v>10.118127493642369</v>
      </c>
      <c r="E24" s="145"/>
      <c r="F24" s="145"/>
      <c r="G24" s="145"/>
      <c r="H24" s="138"/>
      <c r="I24" s="234" t="s">
        <v>255</v>
      </c>
      <c r="J24" s="146">
        <f>D24*0.2</f>
        <v>2.0236254987284741</v>
      </c>
      <c r="K24" s="145"/>
      <c r="L24" s="145"/>
      <c r="M24" s="145"/>
      <c r="N24" s="151">
        <f t="shared" si="0"/>
        <v>2.0236254987284741</v>
      </c>
    </row>
    <row r="25" spans="2:14" x14ac:dyDescent="0.25">
      <c r="B25" s="287"/>
      <c r="C25" s="120"/>
      <c r="D25" s="120"/>
      <c r="E25" s="120">
        <v>865.43717162287737</v>
      </c>
      <c r="F25" s="120"/>
      <c r="G25" s="120"/>
      <c r="H25" s="288"/>
      <c r="I25" s="233" t="s">
        <v>256</v>
      </c>
      <c r="J25" s="398">
        <f>E25*0.62</f>
        <v>536.571046406184</v>
      </c>
      <c r="K25" s="120"/>
      <c r="L25" s="120"/>
      <c r="M25" s="120"/>
      <c r="N25" s="121">
        <f t="shared" si="0"/>
        <v>536.571046406184</v>
      </c>
    </row>
    <row r="26" spans="2:14" x14ac:dyDescent="0.25">
      <c r="B26" s="113"/>
      <c r="C26" s="110"/>
      <c r="D26" s="110"/>
      <c r="E26" s="110">
        <v>341.99270928511208</v>
      </c>
      <c r="F26" s="110"/>
      <c r="G26" s="110"/>
      <c r="H26" s="285"/>
      <c r="I26" s="207" t="s">
        <v>257</v>
      </c>
      <c r="J26" s="115">
        <f>E26*2.89</f>
        <v>988.358929833974</v>
      </c>
      <c r="K26" s="110">
        <f>E26*0.00012</f>
        <v>4.1039125114213454E-2</v>
      </c>
      <c r="L26" s="110">
        <f>E26*0.000024</f>
        <v>8.2078250228426897E-3</v>
      </c>
      <c r="M26" s="110"/>
      <c r="N26" s="111">
        <f t="shared" si="0"/>
        <v>991.83083981863638</v>
      </c>
    </row>
    <row r="27" spans="2:14" x14ac:dyDescent="0.25">
      <c r="B27" s="149"/>
      <c r="C27" s="118"/>
      <c r="D27" s="118"/>
      <c r="E27" s="118">
        <v>12302.293948603301</v>
      </c>
      <c r="F27" s="118"/>
      <c r="G27" s="118"/>
      <c r="H27" s="286"/>
      <c r="I27" s="207" t="s">
        <v>258</v>
      </c>
      <c r="J27" s="384">
        <f>E27*0.08</f>
        <v>984.18351588826408</v>
      </c>
      <c r="K27" s="118"/>
      <c r="L27" s="118"/>
      <c r="M27" s="118"/>
      <c r="N27" s="111">
        <f t="shared" si="0"/>
        <v>984.18351588826408</v>
      </c>
    </row>
    <row r="28" spans="2:14" x14ac:dyDescent="0.25">
      <c r="B28" s="149"/>
      <c r="C28" s="118"/>
      <c r="D28" s="118"/>
      <c r="E28" s="118">
        <v>68967.18062216512</v>
      </c>
      <c r="F28" s="118"/>
      <c r="G28" s="118"/>
      <c r="H28" s="286"/>
      <c r="I28" s="207" t="s">
        <v>259</v>
      </c>
      <c r="J28" s="384">
        <f>E28*0.00023</f>
        <v>15.862451543097977</v>
      </c>
      <c r="K28" s="118">
        <f>E28*0.0000044</f>
        <v>0.30345559473752654</v>
      </c>
      <c r="L28" s="118"/>
      <c r="M28" s="118"/>
      <c r="N28" s="111">
        <f t="shared" si="0"/>
        <v>23.44884141153614</v>
      </c>
    </row>
    <row r="29" spans="2:14" x14ac:dyDescent="0.25">
      <c r="B29" s="149"/>
      <c r="C29" s="118"/>
      <c r="D29" s="118"/>
      <c r="E29" s="118">
        <v>994.94920354149963</v>
      </c>
      <c r="F29" s="118"/>
      <c r="G29" s="118"/>
      <c r="H29" s="286"/>
      <c r="I29" s="207" t="s">
        <v>260</v>
      </c>
      <c r="J29" s="384">
        <f>E29*0.0004</f>
        <v>0.3979796814165999</v>
      </c>
      <c r="K29" s="118"/>
      <c r="L29" s="118"/>
      <c r="M29" s="118"/>
      <c r="N29" s="111">
        <f t="shared" si="0"/>
        <v>0.3979796814165999</v>
      </c>
    </row>
    <row r="30" spans="2:14" ht="14.4" thickBot="1" x14ac:dyDescent="0.3">
      <c r="B30" s="123"/>
      <c r="C30" s="124"/>
      <c r="D30" s="124"/>
      <c r="E30" s="124">
        <v>632.21433289442075</v>
      </c>
      <c r="F30" s="124"/>
      <c r="G30" s="124"/>
      <c r="H30" s="289"/>
      <c r="I30" s="208" t="s">
        <v>261</v>
      </c>
      <c r="J30" s="399">
        <f>E30*0.24</f>
        <v>151.73143989466098</v>
      </c>
      <c r="K30" s="124"/>
      <c r="L30" s="124"/>
      <c r="M30" s="124"/>
      <c r="N30" s="125">
        <f t="shared" si="0"/>
        <v>151.73143989466098</v>
      </c>
    </row>
    <row r="31" spans="2:14" x14ac:dyDescent="0.25">
      <c r="B31" s="287"/>
      <c r="C31" s="120"/>
      <c r="D31" s="120"/>
      <c r="E31" s="120"/>
      <c r="F31" s="290"/>
      <c r="G31" s="120"/>
      <c r="H31" s="288"/>
      <c r="I31" s="233" t="s">
        <v>262</v>
      </c>
      <c r="J31" s="398"/>
      <c r="K31" s="120"/>
      <c r="L31" s="120"/>
      <c r="M31" s="120"/>
      <c r="N31" s="121">
        <f t="shared" si="0"/>
        <v>0</v>
      </c>
    </row>
    <row r="32" spans="2:14" ht="14.4" thickBot="1" x14ac:dyDescent="0.3">
      <c r="B32" s="123"/>
      <c r="C32" s="124"/>
      <c r="D32" s="124"/>
      <c r="E32" s="124"/>
      <c r="F32" s="291"/>
      <c r="G32" s="124"/>
      <c r="H32" s="289"/>
      <c r="I32" s="208" t="s">
        <v>263</v>
      </c>
      <c r="J32" s="399"/>
      <c r="K32" s="124"/>
      <c r="L32" s="124"/>
      <c r="M32" s="124"/>
      <c r="N32" s="125">
        <f t="shared" si="0"/>
        <v>0</v>
      </c>
    </row>
    <row r="33" spans="2:14" x14ac:dyDescent="0.25">
      <c r="B33" s="287"/>
      <c r="C33" s="120"/>
      <c r="D33" s="120"/>
      <c r="E33" s="120"/>
      <c r="F33" s="120"/>
      <c r="G33" s="120" t="s">
        <v>404</v>
      </c>
      <c r="H33" s="288"/>
      <c r="I33" s="233" t="s">
        <v>264</v>
      </c>
      <c r="J33" s="398"/>
      <c r="K33" s="120"/>
      <c r="L33" s="120"/>
      <c r="M33" s="120">
        <v>9635.8300831120832</v>
      </c>
      <c r="N33" s="121">
        <f>J33+K33*25+L33*298+M33</f>
        <v>9635.8300831120832</v>
      </c>
    </row>
    <row r="34" spans="2:14" x14ac:dyDescent="0.25">
      <c r="B34" s="113"/>
      <c r="C34" s="110"/>
      <c r="D34" s="110"/>
      <c r="E34" s="110"/>
      <c r="F34" s="110"/>
      <c r="G34" s="110" t="s">
        <v>404</v>
      </c>
      <c r="H34" s="285"/>
      <c r="I34" s="207" t="s">
        <v>265</v>
      </c>
      <c r="J34" s="115"/>
      <c r="K34" s="110"/>
      <c r="L34" s="110"/>
      <c r="M34" s="110">
        <v>13.153565741735081</v>
      </c>
      <c r="N34" s="111">
        <f>J34+K34*25+L34*298+M34</f>
        <v>13.153565741735081</v>
      </c>
    </row>
    <row r="35" spans="2:14" ht="14.4" thickBot="1" x14ac:dyDescent="0.3">
      <c r="B35" s="123"/>
      <c r="C35" s="124"/>
      <c r="D35" s="124"/>
      <c r="E35" s="124"/>
      <c r="F35" s="124"/>
      <c r="G35" s="124" t="s">
        <v>404</v>
      </c>
      <c r="H35" s="289"/>
      <c r="I35" s="208" t="s">
        <v>334</v>
      </c>
      <c r="J35" s="399"/>
      <c r="K35" s="124"/>
      <c r="L35" s="124"/>
      <c r="M35" s="124">
        <v>215.34748015635506</v>
      </c>
      <c r="N35" s="125">
        <f>J35+K35*25+L35*298+M35</f>
        <v>215.34748015635506</v>
      </c>
    </row>
    <row r="36" spans="2:14" x14ac:dyDescent="0.25">
      <c r="B36" s="287"/>
      <c r="C36" s="120"/>
      <c r="D36" s="120"/>
      <c r="E36" s="120"/>
      <c r="F36" s="120"/>
      <c r="G36" s="120"/>
      <c r="H36" s="288">
        <v>0.67454183290949132</v>
      </c>
      <c r="I36" s="233" t="s">
        <v>266</v>
      </c>
      <c r="J36" s="287"/>
      <c r="K36" s="120"/>
      <c r="L36" s="120">
        <f>H36*1</f>
        <v>0.67454183290949132</v>
      </c>
      <c r="M36" s="120"/>
      <c r="N36" s="121">
        <f t="shared" si="0"/>
        <v>201.01346620702842</v>
      </c>
    </row>
    <row r="37" spans="2:14" x14ac:dyDescent="0.25">
      <c r="B37" s="113"/>
      <c r="C37" s="110"/>
      <c r="D37" s="110"/>
      <c r="E37" s="110"/>
      <c r="F37" s="110"/>
      <c r="G37" s="110"/>
      <c r="H37" s="285">
        <v>5.9022410379580483</v>
      </c>
      <c r="I37" s="207" t="s">
        <v>267</v>
      </c>
      <c r="J37" s="113"/>
      <c r="K37" s="110"/>
      <c r="L37" s="110">
        <f>H37*0.05</f>
        <v>0.29511205189790241</v>
      </c>
      <c r="M37" s="110"/>
      <c r="N37" s="111">
        <f t="shared" si="0"/>
        <v>87.943391465574919</v>
      </c>
    </row>
    <row r="38" spans="2:14" x14ac:dyDescent="0.25">
      <c r="B38" s="113"/>
      <c r="C38" s="110"/>
      <c r="D38" s="110"/>
      <c r="E38" s="110"/>
      <c r="F38" s="110"/>
      <c r="G38" s="110"/>
      <c r="H38" s="285">
        <v>105.05989047565329</v>
      </c>
      <c r="I38" s="207" t="s">
        <v>268</v>
      </c>
      <c r="J38" s="381">
        <f>H38*0.04</f>
        <v>4.2023956190261318</v>
      </c>
      <c r="K38" s="69">
        <f>H38*0.000825</f>
        <v>8.6674409642413963E-2</v>
      </c>
      <c r="L38" s="69">
        <f>H38*0.001935</f>
        <v>0.20329088807038911</v>
      </c>
      <c r="M38" s="110"/>
      <c r="N38" s="111">
        <f t="shared" si="0"/>
        <v>66.949940505062429</v>
      </c>
    </row>
    <row r="39" spans="2:14" x14ac:dyDescent="0.25">
      <c r="B39" s="113"/>
      <c r="C39" s="110"/>
      <c r="D39" s="110"/>
      <c r="E39" s="110"/>
      <c r="F39" s="110"/>
      <c r="G39" s="110"/>
      <c r="H39" s="285">
        <v>105.05989047565329</v>
      </c>
      <c r="I39" s="207" t="s">
        <v>269</v>
      </c>
      <c r="J39" s="113"/>
      <c r="K39" s="110">
        <f>H39*0.003187</f>
        <v>0.33482587094590704</v>
      </c>
      <c r="L39" s="110">
        <f>H39*0.000064</f>
        <v>6.7238329904418101E-3</v>
      </c>
      <c r="M39" s="110"/>
      <c r="N39" s="111">
        <f t="shared" si="0"/>
        <v>10.374349004799335</v>
      </c>
    </row>
    <row r="40" spans="2:14" x14ac:dyDescent="0.25">
      <c r="B40" s="113"/>
      <c r="C40" s="110"/>
      <c r="D40" s="110"/>
      <c r="E40" s="110"/>
      <c r="F40" s="110"/>
      <c r="G40" s="110"/>
      <c r="H40" s="285">
        <v>134.90836658189826</v>
      </c>
      <c r="I40" s="207" t="s">
        <v>270</v>
      </c>
      <c r="J40" s="113"/>
      <c r="K40" s="110">
        <f>H40*0.0059</f>
        <v>0.79595936283319979</v>
      </c>
      <c r="L40" s="110">
        <f>H40*0.0000295</f>
        <v>3.9797968141659984E-3</v>
      </c>
      <c r="M40" s="110"/>
      <c r="N40" s="111">
        <f t="shared" si="0"/>
        <v>21.084963521451463</v>
      </c>
    </row>
    <row r="41" spans="2:14" ht="14.4" thickBot="1" x14ac:dyDescent="0.3">
      <c r="B41" s="149"/>
      <c r="C41" s="118"/>
      <c r="D41" s="118"/>
      <c r="E41" s="118"/>
      <c r="F41" s="118"/>
      <c r="G41" s="118"/>
      <c r="H41" s="286"/>
      <c r="I41" s="207" t="s">
        <v>333</v>
      </c>
      <c r="J41" s="149"/>
      <c r="K41" s="118"/>
      <c r="L41" s="118"/>
      <c r="M41" s="118"/>
      <c r="N41" s="111">
        <f t="shared" si="0"/>
        <v>0</v>
      </c>
    </row>
    <row r="42" spans="2:14" ht="14.4" thickBot="1" x14ac:dyDescent="0.3">
      <c r="B42" s="137">
        <f t="shared" ref="B42:H42" si="1">SUM(B11:B41)</f>
        <v>757.34184289913139</v>
      </c>
      <c r="C42" s="138">
        <f t="shared" si="1"/>
        <v>1000.0082672883208</v>
      </c>
      <c r="D42" s="138">
        <f t="shared" si="1"/>
        <v>10.118127493642369</v>
      </c>
      <c r="E42" s="138">
        <f t="shared" si="1"/>
        <v>84104.067988112336</v>
      </c>
      <c r="F42" s="138">
        <f t="shared" si="1"/>
        <v>0</v>
      </c>
      <c r="G42" s="138">
        <f t="shared" si="1"/>
        <v>0</v>
      </c>
      <c r="H42" s="138">
        <f t="shared" si="1"/>
        <v>351.60493040407243</v>
      </c>
      <c r="I42" s="95" t="s">
        <v>61</v>
      </c>
      <c r="J42" s="145">
        <f>SUM(J11:J41)</f>
        <v>3013.841705299762</v>
      </c>
      <c r="K42" s="145">
        <f>SUM(K11:K41)</f>
        <v>1.5619543632732609</v>
      </c>
      <c r="L42" s="145">
        <f>SUM(L11:L41)</f>
        <v>1.1918562277052334</v>
      </c>
      <c r="M42" s="145">
        <f>SUM(M11:M41)</f>
        <v>9864.3311290101738</v>
      </c>
      <c r="N42" s="151">
        <f>SUM(N11:N41)</f>
        <v>13272.394849247927</v>
      </c>
    </row>
    <row r="43" spans="2:14" x14ac:dyDescent="0.25">
      <c r="I43" s="36"/>
    </row>
    <row r="44" spans="2:14" x14ac:dyDescent="0.25">
      <c r="I44" s="36"/>
    </row>
    <row r="45" spans="2:14" x14ac:dyDescent="0.25">
      <c r="I45" s="36"/>
    </row>
    <row r="46" spans="2:14" x14ac:dyDescent="0.25">
      <c r="I46" s="36"/>
    </row>
    <row r="47" spans="2:14" x14ac:dyDescent="0.25">
      <c r="I47" s="36"/>
    </row>
    <row r="48" spans="2:14" x14ac:dyDescent="0.25">
      <c r="I48" s="36"/>
    </row>
    <row r="49" spans="9:9" x14ac:dyDescent="0.25">
      <c r="I49" s="36"/>
    </row>
    <row r="50" spans="9:9" x14ac:dyDescent="0.25">
      <c r="I50" s="36"/>
    </row>
    <row r="51" spans="9:9" x14ac:dyDescent="0.25">
      <c r="I51" s="36"/>
    </row>
    <row r="52" spans="9:9" x14ac:dyDescent="0.25">
      <c r="I52" s="36"/>
    </row>
    <row r="53" spans="9:9" x14ac:dyDescent="0.25">
      <c r="I53" s="36"/>
    </row>
    <row r="54" spans="9:9" x14ac:dyDescent="0.25">
      <c r="I54" s="36"/>
    </row>
    <row r="55" spans="9:9" x14ac:dyDescent="0.25">
      <c r="I55" s="36"/>
    </row>
    <row r="56" spans="9:9" x14ac:dyDescent="0.25">
      <c r="I56" s="36"/>
    </row>
    <row r="57" spans="9:9" x14ac:dyDescent="0.25">
      <c r="I57" s="36"/>
    </row>
    <row r="58" spans="9:9" x14ac:dyDescent="0.25">
      <c r="I58" s="36"/>
    </row>
    <row r="59" spans="9:9" x14ac:dyDescent="0.25">
      <c r="I59" s="36"/>
    </row>
    <row r="60" spans="9:9" x14ac:dyDescent="0.25">
      <c r="I60" s="36"/>
    </row>
    <row r="61" spans="9:9" x14ac:dyDescent="0.25">
      <c r="I61" s="36"/>
    </row>
    <row r="62" spans="9:9" x14ac:dyDescent="0.25">
      <c r="I62" s="36"/>
    </row>
    <row r="63" spans="9:9" x14ac:dyDescent="0.25">
      <c r="I63" s="36"/>
    </row>
    <row r="64" spans="9:9" x14ac:dyDescent="0.25">
      <c r="I64" s="36"/>
    </row>
    <row r="65" spans="9:9" x14ac:dyDescent="0.25">
      <c r="I65" s="36"/>
    </row>
    <row r="66" spans="9:9" x14ac:dyDescent="0.25">
      <c r="I66" s="36"/>
    </row>
    <row r="67" spans="9:9" x14ac:dyDescent="0.25">
      <c r="I67" s="36"/>
    </row>
    <row r="68" spans="9:9" x14ac:dyDescent="0.25">
      <c r="I68" s="36"/>
    </row>
    <row r="69" spans="9:9" x14ac:dyDescent="0.25">
      <c r="I69" s="36"/>
    </row>
    <row r="70" spans="9:9" x14ac:dyDescent="0.25">
      <c r="I70" s="36"/>
    </row>
    <row r="71" spans="9:9" x14ac:dyDescent="0.25">
      <c r="I71" s="36"/>
    </row>
    <row r="72" spans="9:9" x14ac:dyDescent="0.25">
      <c r="I72" s="36"/>
    </row>
    <row r="73" spans="9:9" x14ac:dyDescent="0.25">
      <c r="I73" s="36"/>
    </row>
    <row r="74" spans="9:9" x14ac:dyDescent="0.25">
      <c r="I74" s="36"/>
    </row>
    <row r="75" spans="9:9" x14ac:dyDescent="0.25">
      <c r="I75" s="36"/>
    </row>
    <row r="76" spans="9:9" x14ac:dyDescent="0.25">
      <c r="I76" s="36"/>
    </row>
    <row r="77" spans="9:9" x14ac:dyDescent="0.25">
      <c r="I77" s="36"/>
    </row>
    <row r="78" spans="9:9" x14ac:dyDescent="0.25">
      <c r="I78" s="36"/>
    </row>
    <row r="79" spans="9:9" x14ac:dyDescent="0.25">
      <c r="I79" s="36"/>
    </row>
    <row r="80" spans="9:9" x14ac:dyDescent="0.25">
      <c r="I80" s="36"/>
    </row>
    <row r="81" spans="9:9" x14ac:dyDescent="0.25">
      <c r="I81" s="36"/>
    </row>
    <row r="82" spans="9:9" x14ac:dyDescent="0.25">
      <c r="I82" s="36"/>
    </row>
    <row r="83" spans="9:9" x14ac:dyDescent="0.25">
      <c r="I83" s="36"/>
    </row>
    <row r="84" spans="9:9" x14ac:dyDescent="0.25">
      <c r="I84" s="36"/>
    </row>
    <row r="85" spans="9:9" x14ac:dyDescent="0.25">
      <c r="I85" s="36"/>
    </row>
    <row r="86" spans="9:9" x14ac:dyDescent="0.25">
      <c r="I86" s="36"/>
    </row>
    <row r="87" spans="9:9" x14ac:dyDescent="0.25">
      <c r="I87" s="36"/>
    </row>
    <row r="88" spans="9:9" x14ac:dyDescent="0.25">
      <c r="I88" s="36"/>
    </row>
    <row r="89" spans="9:9" x14ac:dyDescent="0.25">
      <c r="I89" s="36"/>
    </row>
    <row r="90" spans="9:9" x14ac:dyDescent="0.25">
      <c r="I90" s="36"/>
    </row>
    <row r="91" spans="9:9" x14ac:dyDescent="0.25">
      <c r="I91" s="36"/>
    </row>
    <row r="92" spans="9:9" x14ac:dyDescent="0.25">
      <c r="I92" s="36"/>
    </row>
    <row r="93" spans="9:9" x14ac:dyDescent="0.25">
      <c r="I93" s="36"/>
    </row>
    <row r="94" spans="9:9" x14ac:dyDescent="0.25">
      <c r="I94" s="36"/>
    </row>
    <row r="95" spans="9:9" x14ac:dyDescent="0.25">
      <c r="I95" s="36"/>
    </row>
    <row r="96" spans="9:9" x14ac:dyDescent="0.25">
      <c r="I96" s="36"/>
    </row>
    <row r="97" spans="9:9" x14ac:dyDescent="0.25">
      <c r="I97" s="36"/>
    </row>
    <row r="98" spans="9:9" x14ac:dyDescent="0.25">
      <c r="I98" s="36"/>
    </row>
    <row r="99" spans="9:9" x14ac:dyDescent="0.25">
      <c r="I99" s="36"/>
    </row>
    <row r="100" spans="9:9" x14ac:dyDescent="0.25">
      <c r="I100" s="36"/>
    </row>
    <row r="101" spans="9:9" x14ac:dyDescent="0.25">
      <c r="I101" s="36"/>
    </row>
    <row r="102" spans="9:9" x14ac:dyDescent="0.25">
      <c r="I102" s="36"/>
    </row>
    <row r="103" spans="9:9" x14ac:dyDescent="0.25">
      <c r="I103" s="36"/>
    </row>
    <row r="104" spans="9:9" x14ac:dyDescent="0.25">
      <c r="I104" s="36"/>
    </row>
    <row r="105" spans="9:9" x14ac:dyDescent="0.25">
      <c r="I105" s="36"/>
    </row>
    <row r="106" spans="9:9" x14ac:dyDescent="0.25">
      <c r="I106" s="36"/>
    </row>
    <row r="107" spans="9:9" x14ac:dyDescent="0.25">
      <c r="I107" s="36"/>
    </row>
    <row r="108" spans="9:9" x14ac:dyDescent="0.25">
      <c r="I108" s="36"/>
    </row>
    <row r="109" spans="9:9" x14ac:dyDescent="0.25">
      <c r="I109" s="36"/>
    </row>
    <row r="110" spans="9:9" x14ac:dyDescent="0.25">
      <c r="I110" s="36"/>
    </row>
    <row r="111" spans="9:9" x14ac:dyDescent="0.25">
      <c r="I111" s="36"/>
    </row>
    <row r="112" spans="9:9" x14ac:dyDescent="0.25">
      <c r="I112" s="36"/>
    </row>
    <row r="113" spans="9:9" x14ac:dyDescent="0.25">
      <c r="I113" s="36"/>
    </row>
    <row r="114" spans="9:9" x14ac:dyDescent="0.25">
      <c r="I114" s="36"/>
    </row>
    <row r="115" spans="9:9" x14ac:dyDescent="0.25">
      <c r="I115" s="36"/>
    </row>
    <row r="116" spans="9:9" x14ac:dyDescent="0.25">
      <c r="I116" s="36"/>
    </row>
    <row r="117" spans="9:9" x14ac:dyDescent="0.25">
      <c r="I117" s="36"/>
    </row>
    <row r="118" spans="9:9" x14ac:dyDescent="0.25">
      <c r="I118" s="36"/>
    </row>
    <row r="119" spans="9:9" x14ac:dyDescent="0.25">
      <c r="I119" s="36"/>
    </row>
    <row r="120" spans="9:9" x14ac:dyDescent="0.25">
      <c r="I120" s="36"/>
    </row>
    <row r="121" spans="9:9" x14ac:dyDescent="0.25">
      <c r="I121" s="36"/>
    </row>
    <row r="122" spans="9:9" x14ac:dyDescent="0.25">
      <c r="I122" s="36"/>
    </row>
    <row r="123" spans="9:9" x14ac:dyDescent="0.25">
      <c r="I123" s="36"/>
    </row>
    <row r="124" spans="9:9" x14ac:dyDescent="0.25">
      <c r="I124" s="36"/>
    </row>
    <row r="125" spans="9:9" x14ac:dyDescent="0.25">
      <c r="I125" s="36"/>
    </row>
    <row r="126" spans="9:9" x14ac:dyDescent="0.25">
      <c r="I126" s="36"/>
    </row>
    <row r="127" spans="9:9" x14ac:dyDescent="0.25">
      <c r="I127" s="36"/>
    </row>
    <row r="128" spans="9:9" x14ac:dyDescent="0.25">
      <c r="I128" s="36"/>
    </row>
    <row r="129" spans="9:9" x14ac:dyDescent="0.25">
      <c r="I129" s="36"/>
    </row>
    <row r="130" spans="9:9" x14ac:dyDescent="0.25">
      <c r="I130" s="36"/>
    </row>
    <row r="131" spans="9:9" x14ac:dyDescent="0.25">
      <c r="I131" s="36"/>
    </row>
    <row r="132" spans="9:9" x14ac:dyDescent="0.25">
      <c r="I132" s="36"/>
    </row>
    <row r="133" spans="9:9" x14ac:dyDescent="0.25">
      <c r="I133" s="36"/>
    </row>
    <row r="134" spans="9:9" x14ac:dyDescent="0.25">
      <c r="I134" s="36"/>
    </row>
    <row r="135" spans="9:9" x14ac:dyDescent="0.25">
      <c r="I135" s="36"/>
    </row>
    <row r="136" spans="9:9" x14ac:dyDescent="0.25">
      <c r="I136" s="36"/>
    </row>
    <row r="137" spans="9:9" x14ac:dyDescent="0.25">
      <c r="I137" s="36"/>
    </row>
    <row r="138" spans="9:9" x14ac:dyDescent="0.25">
      <c r="I138" s="36"/>
    </row>
    <row r="139" spans="9:9" x14ac:dyDescent="0.25">
      <c r="I139" s="36"/>
    </row>
    <row r="140" spans="9:9" x14ac:dyDescent="0.25">
      <c r="I140" s="36"/>
    </row>
    <row r="141" spans="9:9" x14ac:dyDescent="0.25">
      <c r="I141" s="36"/>
    </row>
    <row r="142" spans="9:9" x14ac:dyDescent="0.25">
      <c r="I142" s="36"/>
    </row>
    <row r="143" spans="9:9" x14ac:dyDescent="0.25">
      <c r="I143" s="36"/>
    </row>
    <row r="144" spans="9:9" x14ac:dyDescent="0.25">
      <c r="I144" s="36"/>
    </row>
    <row r="145" spans="9:9" x14ac:dyDescent="0.25">
      <c r="I145" s="36"/>
    </row>
    <row r="146" spans="9:9" x14ac:dyDescent="0.25">
      <c r="I146" s="36"/>
    </row>
    <row r="147" spans="9:9" x14ac:dyDescent="0.25">
      <c r="I147" s="36"/>
    </row>
    <row r="148" spans="9:9" x14ac:dyDescent="0.25">
      <c r="I148" s="36"/>
    </row>
    <row r="149" spans="9:9" x14ac:dyDescent="0.25">
      <c r="I149" s="36"/>
    </row>
    <row r="150" spans="9:9" x14ac:dyDescent="0.25">
      <c r="I150" s="36"/>
    </row>
    <row r="151" spans="9:9" x14ac:dyDescent="0.25">
      <c r="I151" s="36"/>
    </row>
    <row r="152" spans="9:9" x14ac:dyDescent="0.25">
      <c r="I152" s="36"/>
    </row>
    <row r="153" spans="9:9" x14ac:dyDescent="0.25">
      <c r="I153" s="36"/>
    </row>
    <row r="154" spans="9:9" x14ac:dyDescent="0.25">
      <c r="I154" s="36"/>
    </row>
    <row r="155" spans="9:9" x14ac:dyDescent="0.25">
      <c r="I155" s="36"/>
    </row>
    <row r="156" spans="9:9" x14ac:dyDescent="0.25">
      <c r="I156" s="36"/>
    </row>
    <row r="157" spans="9:9" x14ac:dyDescent="0.25">
      <c r="I157" s="36"/>
    </row>
    <row r="158" spans="9:9" x14ac:dyDescent="0.25">
      <c r="I158" s="36"/>
    </row>
    <row r="159" spans="9:9" x14ac:dyDescent="0.25">
      <c r="I159" s="36"/>
    </row>
    <row r="160" spans="9:9" x14ac:dyDescent="0.25">
      <c r="I160" s="36"/>
    </row>
    <row r="161" spans="9:9" x14ac:dyDescent="0.25">
      <c r="I161" s="36"/>
    </row>
    <row r="162" spans="9:9" x14ac:dyDescent="0.25">
      <c r="I162" s="36"/>
    </row>
    <row r="163" spans="9:9" x14ac:dyDescent="0.25">
      <c r="I163" s="36"/>
    </row>
    <row r="164" spans="9:9" x14ac:dyDescent="0.25">
      <c r="I164" s="36"/>
    </row>
    <row r="165" spans="9:9" x14ac:dyDescent="0.25">
      <c r="I165" s="36"/>
    </row>
    <row r="166" spans="9:9" x14ac:dyDescent="0.25">
      <c r="I166" s="36"/>
    </row>
    <row r="167" spans="9:9" x14ac:dyDescent="0.25">
      <c r="I167" s="36"/>
    </row>
    <row r="168" spans="9:9" x14ac:dyDescent="0.25">
      <c r="I168" s="36"/>
    </row>
    <row r="169" spans="9:9" x14ac:dyDescent="0.25">
      <c r="I169" s="36"/>
    </row>
    <row r="170" spans="9:9" x14ac:dyDescent="0.25">
      <c r="I170" s="36"/>
    </row>
    <row r="171" spans="9:9" x14ac:dyDescent="0.25">
      <c r="I171" s="36"/>
    </row>
    <row r="172" spans="9:9" x14ac:dyDescent="0.25">
      <c r="I172" s="36"/>
    </row>
    <row r="173" spans="9:9" x14ac:dyDescent="0.25">
      <c r="I173" s="36"/>
    </row>
    <row r="174" spans="9:9" x14ac:dyDescent="0.25">
      <c r="I174" s="36"/>
    </row>
    <row r="175" spans="9:9" x14ac:dyDescent="0.25">
      <c r="I175" s="36"/>
    </row>
    <row r="176" spans="9:9" x14ac:dyDescent="0.25">
      <c r="I176" s="36"/>
    </row>
    <row r="177" spans="9:9" x14ac:dyDescent="0.25">
      <c r="I177" s="36"/>
    </row>
    <row r="178" spans="9:9" x14ac:dyDescent="0.25">
      <c r="I178" s="36"/>
    </row>
    <row r="179" spans="9:9" x14ac:dyDescent="0.25">
      <c r="I179" s="36"/>
    </row>
    <row r="180" spans="9:9" x14ac:dyDescent="0.25">
      <c r="I180" s="36"/>
    </row>
    <row r="181" spans="9:9" x14ac:dyDescent="0.25">
      <c r="I181" s="36"/>
    </row>
    <row r="182" spans="9:9" x14ac:dyDescent="0.25">
      <c r="I182" s="36"/>
    </row>
    <row r="183" spans="9:9" x14ac:dyDescent="0.25">
      <c r="I183" s="36"/>
    </row>
    <row r="184" spans="9:9" x14ac:dyDescent="0.25">
      <c r="I184" s="36"/>
    </row>
    <row r="185" spans="9:9" x14ac:dyDescent="0.25">
      <c r="I185" s="36"/>
    </row>
    <row r="186" spans="9:9" x14ac:dyDescent="0.25">
      <c r="I186" s="36"/>
    </row>
    <row r="187" spans="9:9" x14ac:dyDescent="0.25">
      <c r="I187" s="36"/>
    </row>
    <row r="188" spans="9:9" x14ac:dyDescent="0.25">
      <c r="I188" s="36"/>
    </row>
    <row r="189" spans="9:9" x14ac:dyDescent="0.25">
      <c r="I189" s="36"/>
    </row>
    <row r="190" spans="9:9" x14ac:dyDescent="0.25">
      <c r="I190" s="36"/>
    </row>
    <row r="191" spans="9:9" x14ac:dyDescent="0.25">
      <c r="I191" s="36"/>
    </row>
    <row r="192" spans="9:9" x14ac:dyDescent="0.25">
      <c r="I192" s="36"/>
    </row>
    <row r="193" spans="1:14" x14ac:dyDescent="0.25">
      <c r="I193" s="36"/>
    </row>
    <row r="194" spans="1:14" x14ac:dyDescent="0.25">
      <c r="I194" s="36"/>
    </row>
    <row r="195" spans="1:14" x14ac:dyDescent="0.25">
      <c r="I195" s="36"/>
    </row>
    <row r="196" spans="1:14" x14ac:dyDescent="0.25">
      <c r="I196" s="36"/>
    </row>
    <row r="197" spans="1:14" x14ac:dyDescent="0.25">
      <c r="I197" s="36"/>
    </row>
    <row r="198" spans="1:14" x14ac:dyDescent="0.25">
      <c r="I198" s="36"/>
    </row>
    <row r="199" spans="1:14" x14ac:dyDescent="0.25">
      <c r="I199" s="36"/>
    </row>
    <row r="200" spans="1:14" ht="14.4" thickBot="1" x14ac:dyDescent="0.3">
      <c r="I200" s="36"/>
    </row>
    <row r="201" spans="1:14" ht="14.4" thickBot="1" x14ac:dyDescent="0.3">
      <c r="A201" s="536" t="s">
        <v>62</v>
      </c>
      <c r="B201" s="539" t="s">
        <v>63</v>
      </c>
      <c r="C201" s="540"/>
      <c r="D201" s="540"/>
      <c r="E201" s="540"/>
      <c r="F201" s="540"/>
      <c r="G201" s="540"/>
      <c r="H201" s="540"/>
      <c r="I201" s="540"/>
      <c r="J201" s="540"/>
      <c r="K201" s="540"/>
      <c r="L201" s="540"/>
      <c r="M201" s="540"/>
      <c r="N201" s="541"/>
    </row>
    <row r="202" spans="1:14" ht="14.4" thickBot="1" x14ac:dyDescent="0.3">
      <c r="A202" s="537"/>
      <c r="B202" s="1"/>
      <c r="C202" s="2"/>
      <c r="D202" s="3"/>
      <c r="E202" s="2"/>
      <c r="F202" s="2"/>
      <c r="G202" s="2"/>
      <c r="H202" s="2"/>
      <c r="I202" s="49" t="s">
        <v>64</v>
      </c>
      <c r="J202" s="247"/>
      <c r="K202" s="248"/>
      <c r="L202" s="249"/>
      <c r="M202" s="50"/>
      <c r="N202" s="51"/>
    </row>
    <row r="203" spans="1:14" x14ac:dyDescent="0.25">
      <c r="A203" s="537"/>
      <c r="B203" s="52"/>
      <c r="C203" s="250"/>
      <c r="D203" s="251"/>
      <c r="E203" s="250"/>
      <c r="F203" s="250"/>
      <c r="G203" s="250"/>
      <c r="H203" s="250"/>
      <c r="I203" s="53" t="s">
        <v>65</v>
      </c>
      <c r="J203" s="253"/>
      <c r="K203" s="254"/>
      <c r="L203" s="255"/>
      <c r="M203" s="54"/>
      <c r="N203" s="55"/>
    </row>
    <row r="204" spans="1:14" x14ac:dyDescent="0.25">
      <c r="A204" s="537"/>
      <c r="B204" s="256"/>
      <c r="C204" s="257"/>
      <c r="D204" s="258"/>
      <c r="E204" s="257"/>
      <c r="F204" s="257"/>
      <c r="G204" s="257"/>
      <c r="H204" s="257"/>
      <c r="I204" s="56" t="s">
        <v>66</v>
      </c>
      <c r="J204" s="260"/>
      <c r="K204" s="261"/>
      <c r="L204" s="262"/>
      <c r="M204" s="57"/>
      <c r="N204" s="51"/>
    </row>
    <row r="205" spans="1:14" ht="14.4" thickBot="1" x14ac:dyDescent="0.3">
      <c r="A205" s="537"/>
      <c r="B205" s="263"/>
      <c r="C205" s="264"/>
      <c r="D205" s="265"/>
      <c r="E205" s="264"/>
      <c r="F205" s="264"/>
      <c r="G205" s="264"/>
      <c r="H205" s="264"/>
      <c r="I205" s="58" t="s">
        <v>67</v>
      </c>
      <c r="J205" s="267"/>
      <c r="K205" s="268"/>
      <c r="L205" s="269"/>
      <c r="M205" s="59"/>
      <c r="N205" s="60"/>
    </row>
    <row r="206" spans="1:14" ht="14.4" thickBot="1" x14ac:dyDescent="0.3">
      <c r="A206" s="538"/>
      <c r="B206" s="270"/>
      <c r="C206" s="271"/>
      <c r="D206" s="272"/>
      <c r="E206" s="271"/>
      <c r="F206" s="271"/>
      <c r="G206" s="271"/>
      <c r="H206" s="271"/>
      <c r="I206" s="61" t="s">
        <v>68</v>
      </c>
      <c r="J206" s="274"/>
      <c r="K206" s="275"/>
      <c r="L206" s="276"/>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91"/>
  <sheetViews>
    <sheetView zoomScaleNormal="100" workbookViewId="0">
      <selection activeCell="N15" sqref="N15"/>
    </sheetView>
  </sheetViews>
  <sheetFormatPr defaultColWidth="9.109375" defaultRowHeight="13.8" x14ac:dyDescent="0.25"/>
  <cols>
    <col min="1" max="1" width="23.33203125" style="36" customWidth="1"/>
    <col min="2" max="2" width="8.5546875" style="36" customWidth="1"/>
    <col min="3" max="6" width="9.109375" style="36"/>
    <col min="7" max="7" width="64.5546875" style="46" customWidth="1"/>
    <col min="8" max="8" width="9.44140625" style="36" customWidth="1"/>
    <col min="9" max="16384" width="9.109375" style="36"/>
  </cols>
  <sheetData>
    <row r="1" spans="1:15" x14ac:dyDescent="0.25">
      <c r="G1" s="36"/>
    </row>
    <row r="2" spans="1:15" x14ac:dyDescent="0.25">
      <c r="A2" s="569" t="s">
        <v>31</v>
      </c>
      <c r="B2" s="570"/>
      <c r="C2" s="571"/>
      <c r="D2" s="292">
        <v>2018</v>
      </c>
      <c r="E2" s="6"/>
      <c r="F2" s="6"/>
    </row>
    <row r="3" spans="1:15" ht="14.4" x14ac:dyDescent="0.25">
      <c r="A3" s="292" t="s">
        <v>273</v>
      </c>
      <c r="B3" s="292" t="s">
        <v>306</v>
      </c>
      <c r="C3" s="292" t="s">
        <v>307</v>
      </c>
      <c r="D3" s="293"/>
      <c r="E3" s="244"/>
      <c r="F3" s="244"/>
      <c r="G3" s="94" t="s">
        <v>308</v>
      </c>
    </row>
    <row r="4" spans="1:15" ht="28.2" x14ac:dyDescent="0.25">
      <c r="E4" s="6"/>
      <c r="F4" s="6"/>
      <c r="G4" s="44" t="s">
        <v>332</v>
      </c>
    </row>
    <row r="5" spans="1:15" ht="14.4" x14ac:dyDescent="0.25">
      <c r="D5" s="6"/>
      <c r="E5" s="6"/>
      <c r="F5" s="6"/>
      <c r="G5" s="94" t="s">
        <v>482</v>
      </c>
    </row>
    <row r="6" spans="1:15" x14ac:dyDescent="0.25">
      <c r="D6" s="6"/>
      <c r="E6" s="6"/>
      <c r="F6" s="6"/>
      <c r="G6" s="36"/>
    </row>
    <row r="7" spans="1:15" x14ac:dyDescent="0.25">
      <c r="G7" s="36"/>
    </row>
    <row r="8" spans="1:15" ht="15.75" customHeight="1" x14ac:dyDescent="0.25">
      <c r="G8" s="36"/>
    </row>
    <row r="9" spans="1:15" ht="30.75" customHeight="1" thickBot="1" x14ac:dyDescent="0.35">
      <c r="B9" s="572" t="s">
        <v>339</v>
      </c>
      <c r="C9" s="572"/>
      <c r="D9" s="572"/>
      <c r="E9" s="572"/>
      <c r="F9" s="572"/>
      <c r="G9" s="245" t="s">
        <v>32</v>
      </c>
      <c r="H9" s="549" t="s">
        <v>274</v>
      </c>
      <c r="I9" s="549"/>
      <c r="J9" s="549"/>
      <c r="K9" s="549"/>
    </row>
    <row r="10" spans="1:15" ht="100.5" customHeight="1" thickBot="1" x14ac:dyDescent="0.3">
      <c r="B10" s="210" t="s">
        <v>330</v>
      </c>
      <c r="C10" s="211" t="s">
        <v>309</v>
      </c>
      <c r="D10" s="211" t="s">
        <v>310</v>
      </c>
      <c r="E10" s="211" t="s">
        <v>311</v>
      </c>
      <c r="F10" s="211" t="s">
        <v>312</v>
      </c>
      <c r="G10" s="235"/>
      <c r="H10" s="236" t="s">
        <v>49</v>
      </c>
      <c r="I10" s="211" t="s">
        <v>376</v>
      </c>
      <c r="J10" s="211" t="s">
        <v>377</v>
      </c>
      <c r="K10" s="212" t="s">
        <v>52</v>
      </c>
    </row>
    <row r="11" spans="1:15" ht="14.4" customHeight="1" x14ac:dyDescent="0.25">
      <c r="A11" s="545"/>
      <c r="B11" s="573" t="s">
        <v>313</v>
      </c>
      <c r="C11" s="574"/>
      <c r="D11" s="574"/>
      <c r="E11" s="574"/>
      <c r="F11" s="574"/>
      <c r="G11" s="574"/>
      <c r="H11" s="574"/>
      <c r="I11" s="574"/>
      <c r="J11" s="574"/>
      <c r="K11" s="575"/>
    </row>
    <row r="12" spans="1:15" x14ac:dyDescent="0.25">
      <c r="A12" s="545"/>
      <c r="B12" s="129"/>
      <c r="C12" s="130"/>
      <c r="D12" s="130"/>
      <c r="E12" s="130"/>
      <c r="F12" s="130">
        <v>11888.701300767098</v>
      </c>
      <c r="G12" s="237" t="s">
        <v>314</v>
      </c>
      <c r="H12" s="142"/>
      <c r="I12" s="142">
        <f>F12*0.0320328274979</f>
        <v>380.82871794153175</v>
      </c>
      <c r="J12" s="142"/>
      <c r="K12" s="111">
        <f t="shared" ref="K12:K25" si="0">H12+I12*25+J12*298</f>
        <v>9520.7179485382931</v>
      </c>
    </row>
    <row r="13" spans="1:15" ht="14.4" x14ac:dyDescent="0.25">
      <c r="A13" s="545"/>
      <c r="B13" s="132"/>
      <c r="C13" s="130"/>
      <c r="D13" s="130"/>
      <c r="E13" s="130"/>
      <c r="F13" s="130">
        <v>9.6458129986234784</v>
      </c>
      <c r="G13" s="237" t="s">
        <v>315</v>
      </c>
      <c r="H13" s="142"/>
      <c r="I13" s="142">
        <f>F13*0.02456199746439</f>
        <v>0.23692043441416999</v>
      </c>
      <c r="J13" s="142"/>
      <c r="K13" s="111">
        <f t="shared" si="0"/>
        <v>5.9230108603542497</v>
      </c>
      <c r="N13" s="294"/>
      <c r="O13" s="294"/>
    </row>
    <row r="14" spans="1:15" ht="14.4" x14ac:dyDescent="0.25">
      <c r="A14" s="545"/>
      <c r="B14" s="132"/>
      <c r="C14" s="130"/>
      <c r="D14" s="130"/>
      <c r="E14" s="130"/>
      <c r="F14" s="130" t="s">
        <v>343</v>
      </c>
      <c r="G14" s="237" t="s">
        <v>316</v>
      </c>
      <c r="H14" s="142"/>
      <c r="I14" s="142"/>
      <c r="J14" s="142"/>
      <c r="K14" s="111">
        <f t="shared" si="0"/>
        <v>0</v>
      </c>
      <c r="N14" s="294"/>
      <c r="O14" s="294"/>
    </row>
    <row r="15" spans="1:15" ht="16.2" x14ac:dyDescent="0.25">
      <c r="A15" s="545"/>
      <c r="B15" s="132"/>
      <c r="C15" s="130"/>
      <c r="D15" s="130"/>
      <c r="E15" s="130" t="s">
        <v>419</v>
      </c>
      <c r="F15" s="130"/>
      <c r="G15" s="237" t="s">
        <v>317</v>
      </c>
      <c r="H15" s="142"/>
      <c r="I15" s="142">
        <v>72.042659681473225</v>
      </c>
      <c r="J15" s="142">
        <v>4.7248470386707195</v>
      </c>
      <c r="K15" s="111">
        <f t="shared" si="0"/>
        <v>3209.0709095607053</v>
      </c>
      <c r="N15" s="294"/>
      <c r="O15" s="294"/>
    </row>
    <row r="16" spans="1:15" ht="16.2" x14ac:dyDescent="0.25">
      <c r="B16" s="129"/>
      <c r="C16" s="122"/>
      <c r="D16" s="122"/>
      <c r="E16" s="122" t="s">
        <v>379</v>
      </c>
      <c r="F16" s="122"/>
      <c r="G16" s="237" t="s">
        <v>318</v>
      </c>
      <c r="H16" s="110"/>
      <c r="I16" s="110">
        <v>170.03952875171618</v>
      </c>
      <c r="J16" s="110"/>
      <c r="K16" s="111">
        <f t="shared" si="0"/>
        <v>4250.9882187929043</v>
      </c>
    </row>
    <row r="17" spans="2:11" x14ac:dyDescent="0.25">
      <c r="B17" s="129"/>
      <c r="C17" s="122"/>
      <c r="D17" s="135">
        <v>80.69633908089466</v>
      </c>
      <c r="E17" s="122"/>
      <c r="F17" s="122"/>
      <c r="G17" s="237" t="s">
        <v>319</v>
      </c>
      <c r="H17" s="110">
        <f>D17*293.592485784684/1000</f>
        <v>23.691838784483608</v>
      </c>
      <c r="I17" s="110">
        <f>D17*0.3961232910573/1000</f>
        <v>3.1965699412999808E-2</v>
      </c>
      <c r="J17" s="110">
        <f>D17*0.22934092581936/1000</f>
        <v>1.8506973115045382E-2</v>
      </c>
      <c r="K17" s="111">
        <f t="shared" si="0"/>
        <v>30.006059258092129</v>
      </c>
    </row>
    <row r="18" spans="2:11" x14ac:dyDescent="0.25">
      <c r="B18" s="129"/>
      <c r="C18" s="122"/>
      <c r="D18" s="135">
        <v>195.90786894664691</v>
      </c>
      <c r="E18" s="122"/>
      <c r="F18" s="122"/>
      <c r="G18" s="237" t="s">
        <v>320</v>
      </c>
      <c r="H18" s="110">
        <f>D18*153.956804169563/1000</f>
        <v>30.161349414695326</v>
      </c>
      <c r="I18" s="110">
        <f>D18*6.50000000000025/1000</f>
        <v>1.2734011481532539</v>
      </c>
      <c r="J18" s="110">
        <f>D18*0.1500000000002/1000</f>
        <v>2.938618034203622E-2</v>
      </c>
      <c r="K18" s="111">
        <f t="shared" si="0"/>
        <v>70.753459860453475</v>
      </c>
    </row>
    <row r="19" spans="2:11" ht="14.4" customHeight="1" x14ac:dyDescent="0.25">
      <c r="B19" s="566" t="s">
        <v>321</v>
      </c>
      <c r="C19" s="567"/>
      <c r="D19" s="567"/>
      <c r="E19" s="567"/>
      <c r="F19" s="567"/>
      <c r="G19" s="567"/>
      <c r="H19" s="567"/>
      <c r="I19" s="567"/>
      <c r="J19" s="567"/>
      <c r="K19" s="568"/>
    </row>
    <row r="20" spans="2:11" ht="16.2" x14ac:dyDescent="0.25">
      <c r="B20" s="129"/>
      <c r="C20" s="122" t="s">
        <v>379</v>
      </c>
      <c r="D20" s="122"/>
      <c r="E20" s="122"/>
      <c r="F20" s="122"/>
      <c r="G20" s="237" t="s">
        <v>322</v>
      </c>
      <c r="H20" s="122"/>
      <c r="I20" s="110">
        <v>34.237049062400835</v>
      </c>
      <c r="J20" s="110">
        <v>3.3911745274657186</v>
      </c>
      <c r="K20" s="111">
        <f t="shared" si="0"/>
        <v>1866.4962357448048</v>
      </c>
    </row>
    <row r="21" spans="2:11" ht="16.2" x14ac:dyDescent="0.25">
      <c r="B21" s="129"/>
      <c r="C21" s="122" t="s">
        <v>379</v>
      </c>
      <c r="D21" s="122"/>
      <c r="E21" s="122"/>
      <c r="F21" s="122"/>
      <c r="G21" s="237" t="s">
        <v>323</v>
      </c>
      <c r="H21" s="122"/>
      <c r="I21" s="110"/>
      <c r="J21" s="110">
        <v>0.58720382582633379</v>
      </c>
      <c r="K21" s="111">
        <f t="shared" si="0"/>
        <v>174.98674009624747</v>
      </c>
    </row>
    <row r="22" spans="2:11" ht="16.2" x14ac:dyDescent="0.25">
      <c r="B22" s="129"/>
      <c r="C22" s="122" t="s">
        <v>379</v>
      </c>
      <c r="D22" s="122"/>
      <c r="E22" s="122"/>
      <c r="F22" s="122"/>
      <c r="G22" s="237" t="s">
        <v>324</v>
      </c>
      <c r="H22" s="122"/>
      <c r="I22" s="110"/>
      <c r="J22" s="110"/>
      <c r="K22" s="111">
        <f t="shared" si="0"/>
        <v>0</v>
      </c>
    </row>
    <row r="23" spans="2:11" ht="14.4" customHeight="1" x14ac:dyDescent="0.25">
      <c r="B23" s="566" t="s">
        <v>325</v>
      </c>
      <c r="C23" s="567"/>
      <c r="D23" s="567"/>
      <c r="E23" s="567"/>
      <c r="F23" s="567"/>
      <c r="G23" s="567"/>
      <c r="H23" s="567"/>
      <c r="I23" s="567"/>
      <c r="J23" s="567"/>
      <c r="K23" s="568"/>
    </row>
    <row r="24" spans="2:11" x14ac:dyDescent="0.25">
      <c r="B24" s="143">
        <v>147</v>
      </c>
      <c r="C24" s="122"/>
      <c r="D24" s="122"/>
      <c r="E24" s="122"/>
      <c r="F24" s="122"/>
      <c r="G24" s="237" t="s">
        <v>326</v>
      </c>
      <c r="H24" s="110">
        <v>198.98984070829994</v>
      </c>
      <c r="I24" s="110">
        <v>1.1686437255156936</v>
      </c>
      <c r="J24" s="110"/>
      <c r="K24" s="111">
        <f t="shared" si="0"/>
        <v>228.20593384619227</v>
      </c>
    </row>
    <row r="25" spans="2:11" ht="14.4" thickBot="1" x14ac:dyDescent="0.3">
      <c r="B25" s="144">
        <v>64</v>
      </c>
      <c r="C25" s="136"/>
      <c r="D25" s="133"/>
      <c r="E25" s="133"/>
      <c r="F25" s="133"/>
      <c r="G25" s="238" t="s">
        <v>327</v>
      </c>
      <c r="H25" s="118">
        <v>104.55398410097115</v>
      </c>
      <c r="I25" s="118">
        <v>0.21922609569558468</v>
      </c>
      <c r="J25" s="118"/>
      <c r="K25" s="119">
        <f t="shared" si="0"/>
        <v>110.03463649336076</v>
      </c>
    </row>
    <row r="26" spans="2:11" ht="14.4" thickBot="1" x14ac:dyDescent="0.3">
      <c r="B26" s="137">
        <f t="shared" ref="B26:F26" si="1">SUM(B11:B25)</f>
        <v>211</v>
      </c>
      <c r="C26" s="138">
        <f t="shared" si="1"/>
        <v>0</v>
      </c>
      <c r="D26" s="138">
        <f t="shared" si="1"/>
        <v>276.60420802754157</v>
      </c>
      <c r="E26" s="138">
        <f t="shared" si="1"/>
        <v>0</v>
      </c>
      <c r="F26" s="138">
        <f t="shared" si="1"/>
        <v>11898.347113765722</v>
      </c>
      <c r="G26" s="98" t="s">
        <v>61</v>
      </c>
      <c r="H26" s="146">
        <f>SUM(H11:H25)</f>
        <v>357.39701300845002</v>
      </c>
      <c r="I26" s="145">
        <f>SUM(I11:I25)</f>
        <v>660.07811254031367</v>
      </c>
      <c r="J26" s="145">
        <f>SUM(J11:J25)</f>
        <v>8.751118545419855</v>
      </c>
      <c r="K26" s="151">
        <f>SUM(K11:K25)</f>
        <v>19467.18315305141</v>
      </c>
    </row>
    <row r="27" spans="2:11" ht="16.2" x14ac:dyDescent="0.25">
      <c r="B27" s="99" t="s">
        <v>328</v>
      </c>
      <c r="G27" s="36"/>
    </row>
    <row r="28" spans="2:11" ht="16.2" x14ac:dyDescent="0.25">
      <c r="B28" s="99"/>
      <c r="G28" s="36"/>
    </row>
    <row r="29" spans="2:11" x14ac:dyDescent="0.25">
      <c r="G29" s="36"/>
    </row>
    <row r="30" spans="2:11" x14ac:dyDescent="0.25">
      <c r="G30" s="36"/>
    </row>
    <row r="31" spans="2:11" x14ac:dyDescent="0.25">
      <c r="G31" s="36"/>
    </row>
    <row r="32" spans="2:11" x14ac:dyDescent="0.25">
      <c r="G32" s="36"/>
    </row>
    <row r="33" spans="7:7" x14ac:dyDescent="0.25">
      <c r="G33" s="36"/>
    </row>
    <row r="34" spans="7:7" x14ac:dyDescent="0.25">
      <c r="G34" s="36"/>
    </row>
    <row r="35" spans="7:7" x14ac:dyDescent="0.25">
      <c r="G35" s="36"/>
    </row>
    <row r="36" spans="7:7" x14ac:dyDescent="0.25">
      <c r="G36" s="36"/>
    </row>
    <row r="37" spans="7:7" x14ac:dyDescent="0.25">
      <c r="G37" s="36"/>
    </row>
    <row r="38" spans="7:7" x14ac:dyDescent="0.25">
      <c r="G38" s="36"/>
    </row>
    <row r="39" spans="7:7" x14ac:dyDescent="0.25">
      <c r="G39" s="36"/>
    </row>
    <row r="40" spans="7:7" x14ac:dyDescent="0.25">
      <c r="G40" s="36"/>
    </row>
    <row r="41" spans="7:7" x14ac:dyDescent="0.25">
      <c r="G41" s="36"/>
    </row>
    <row r="42" spans="7:7" x14ac:dyDescent="0.25">
      <c r="G42" s="36"/>
    </row>
    <row r="43" spans="7:7" x14ac:dyDescent="0.25">
      <c r="G43" s="36"/>
    </row>
    <row r="44" spans="7:7" x14ac:dyDescent="0.25">
      <c r="G44" s="36"/>
    </row>
    <row r="45" spans="7:7" x14ac:dyDescent="0.25">
      <c r="G45" s="36"/>
    </row>
    <row r="46" spans="7:7" x14ac:dyDescent="0.25">
      <c r="G46" s="36"/>
    </row>
    <row r="47" spans="7:7" x14ac:dyDescent="0.25">
      <c r="G47" s="36"/>
    </row>
    <row r="48" spans="7:7" x14ac:dyDescent="0.25">
      <c r="G48" s="36"/>
    </row>
    <row r="49" spans="7:7" x14ac:dyDescent="0.25">
      <c r="G49" s="36"/>
    </row>
    <row r="50" spans="7:7" x14ac:dyDescent="0.25">
      <c r="G50" s="36"/>
    </row>
    <row r="51" spans="7:7" x14ac:dyDescent="0.25">
      <c r="G51" s="36"/>
    </row>
    <row r="52" spans="7:7" x14ac:dyDescent="0.25">
      <c r="G52" s="36"/>
    </row>
    <row r="53" spans="7:7" x14ac:dyDescent="0.25">
      <c r="G53" s="36"/>
    </row>
    <row r="54" spans="7:7" x14ac:dyDescent="0.25">
      <c r="G54" s="36"/>
    </row>
    <row r="55" spans="7:7" x14ac:dyDescent="0.25">
      <c r="G55" s="36"/>
    </row>
    <row r="56" spans="7:7" x14ac:dyDescent="0.25">
      <c r="G56" s="36"/>
    </row>
    <row r="57" spans="7:7" x14ac:dyDescent="0.25">
      <c r="G57" s="36"/>
    </row>
    <row r="58" spans="7:7" x14ac:dyDescent="0.25">
      <c r="G58" s="36"/>
    </row>
    <row r="59" spans="7:7" x14ac:dyDescent="0.25">
      <c r="G59" s="36"/>
    </row>
    <row r="60" spans="7:7" x14ac:dyDescent="0.25">
      <c r="G60" s="36"/>
    </row>
    <row r="61" spans="7:7" x14ac:dyDescent="0.25">
      <c r="G61" s="36"/>
    </row>
    <row r="62" spans="7:7" x14ac:dyDescent="0.25">
      <c r="G62" s="36"/>
    </row>
    <row r="63" spans="7:7" x14ac:dyDescent="0.25">
      <c r="G63" s="36"/>
    </row>
    <row r="64" spans="7:7" x14ac:dyDescent="0.25">
      <c r="G64" s="36"/>
    </row>
    <row r="65" spans="7:7" x14ac:dyDescent="0.25">
      <c r="G65" s="36"/>
    </row>
    <row r="66" spans="7:7" x14ac:dyDescent="0.25">
      <c r="G66" s="36"/>
    </row>
    <row r="67" spans="7:7" x14ac:dyDescent="0.25">
      <c r="G67" s="36"/>
    </row>
    <row r="68" spans="7:7" x14ac:dyDescent="0.25">
      <c r="G68" s="36"/>
    </row>
    <row r="69" spans="7:7" x14ac:dyDescent="0.25">
      <c r="G69" s="36"/>
    </row>
    <row r="70" spans="7:7" x14ac:dyDescent="0.25">
      <c r="G70" s="36"/>
    </row>
    <row r="71" spans="7:7" x14ac:dyDescent="0.25">
      <c r="G71" s="36"/>
    </row>
    <row r="72" spans="7:7" x14ac:dyDescent="0.25">
      <c r="G72" s="36"/>
    </row>
    <row r="73" spans="7:7" x14ac:dyDescent="0.25">
      <c r="G73" s="36"/>
    </row>
    <row r="74" spans="7:7" x14ac:dyDescent="0.25">
      <c r="G74" s="36"/>
    </row>
    <row r="75" spans="7:7" x14ac:dyDescent="0.25">
      <c r="G75" s="36"/>
    </row>
    <row r="76" spans="7:7" x14ac:dyDescent="0.25">
      <c r="G76" s="36"/>
    </row>
    <row r="77" spans="7:7" x14ac:dyDescent="0.25">
      <c r="G77" s="36"/>
    </row>
    <row r="78" spans="7:7" x14ac:dyDescent="0.25">
      <c r="G78" s="36"/>
    </row>
    <row r="79" spans="7:7" x14ac:dyDescent="0.25">
      <c r="G79" s="36"/>
    </row>
    <row r="80" spans="7:7" x14ac:dyDescent="0.25">
      <c r="G80" s="36"/>
    </row>
    <row r="81" spans="7:7" x14ac:dyDescent="0.25">
      <c r="G81" s="36"/>
    </row>
    <row r="82" spans="7:7" x14ac:dyDescent="0.25">
      <c r="G82" s="36"/>
    </row>
    <row r="83" spans="7:7" x14ac:dyDescent="0.25">
      <c r="G83" s="36"/>
    </row>
    <row r="84" spans="7:7" x14ac:dyDescent="0.25">
      <c r="G84" s="36"/>
    </row>
    <row r="85" spans="7:7" x14ac:dyDescent="0.25">
      <c r="G85" s="36"/>
    </row>
    <row r="86" spans="7:7" x14ac:dyDescent="0.25">
      <c r="G86" s="36"/>
    </row>
    <row r="87" spans="7:7" x14ac:dyDescent="0.25">
      <c r="G87" s="36"/>
    </row>
    <row r="88" spans="7:7" x14ac:dyDescent="0.25">
      <c r="G88" s="36"/>
    </row>
    <row r="89" spans="7:7" x14ac:dyDescent="0.25">
      <c r="G89" s="36"/>
    </row>
    <row r="90" spans="7:7" x14ac:dyDescent="0.25">
      <c r="G90" s="36"/>
    </row>
    <row r="91" spans="7:7" x14ac:dyDescent="0.25">
      <c r="G91" s="36"/>
    </row>
    <row r="92" spans="7:7" x14ac:dyDescent="0.25">
      <c r="G92" s="36"/>
    </row>
    <row r="93" spans="7:7" x14ac:dyDescent="0.25">
      <c r="G93" s="36"/>
    </row>
    <row r="94" spans="7:7" x14ac:dyDescent="0.25">
      <c r="G94" s="36"/>
    </row>
    <row r="95" spans="7:7" x14ac:dyDescent="0.25">
      <c r="G95" s="36"/>
    </row>
    <row r="96" spans="7:7" x14ac:dyDescent="0.25">
      <c r="G96" s="36"/>
    </row>
    <row r="97" spans="7:7" x14ac:dyDescent="0.25">
      <c r="G97" s="36"/>
    </row>
    <row r="98" spans="7:7" x14ac:dyDescent="0.25">
      <c r="G98" s="36"/>
    </row>
    <row r="99" spans="7:7" x14ac:dyDescent="0.25">
      <c r="G99" s="36"/>
    </row>
    <row r="100" spans="7:7" x14ac:dyDescent="0.25">
      <c r="G100" s="36"/>
    </row>
    <row r="101" spans="7:7" x14ac:dyDescent="0.25">
      <c r="G101" s="36"/>
    </row>
    <row r="102" spans="7:7" x14ac:dyDescent="0.25">
      <c r="G102" s="36"/>
    </row>
    <row r="103" spans="7:7" x14ac:dyDescent="0.25">
      <c r="G103" s="36"/>
    </row>
    <row r="104" spans="7:7" x14ac:dyDescent="0.25">
      <c r="G104" s="36"/>
    </row>
    <row r="105" spans="7:7" x14ac:dyDescent="0.25">
      <c r="G105" s="36"/>
    </row>
    <row r="106" spans="7:7" x14ac:dyDescent="0.25">
      <c r="G106" s="36"/>
    </row>
    <row r="107" spans="7:7" x14ac:dyDescent="0.25">
      <c r="G107" s="36"/>
    </row>
    <row r="108" spans="7:7" x14ac:dyDescent="0.25">
      <c r="G108" s="36"/>
    </row>
    <row r="109" spans="7:7" x14ac:dyDescent="0.25">
      <c r="G109" s="36"/>
    </row>
    <row r="110" spans="7:7" x14ac:dyDescent="0.25">
      <c r="G110" s="36"/>
    </row>
    <row r="111" spans="7:7" x14ac:dyDescent="0.25">
      <c r="G111" s="36"/>
    </row>
    <row r="112" spans="7:7" x14ac:dyDescent="0.25">
      <c r="G112" s="36"/>
    </row>
    <row r="113" spans="7:7" x14ac:dyDescent="0.25">
      <c r="G113" s="36"/>
    </row>
    <row r="114" spans="7:7" x14ac:dyDescent="0.25">
      <c r="G114" s="36"/>
    </row>
    <row r="115" spans="7:7" x14ac:dyDescent="0.25">
      <c r="G115" s="36"/>
    </row>
    <row r="116" spans="7:7" x14ac:dyDescent="0.25">
      <c r="G116" s="36"/>
    </row>
    <row r="117" spans="7:7" x14ac:dyDescent="0.25">
      <c r="G117" s="36"/>
    </row>
    <row r="118" spans="7:7" x14ac:dyDescent="0.25">
      <c r="G118" s="36"/>
    </row>
    <row r="119" spans="7:7" x14ac:dyDescent="0.25">
      <c r="G119" s="36"/>
    </row>
    <row r="120" spans="7:7" x14ac:dyDescent="0.25">
      <c r="G120" s="36"/>
    </row>
    <row r="121" spans="7:7" x14ac:dyDescent="0.25">
      <c r="G121" s="36"/>
    </row>
    <row r="122" spans="7:7" x14ac:dyDescent="0.25">
      <c r="G122" s="36"/>
    </row>
    <row r="123" spans="7:7" x14ac:dyDescent="0.25">
      <c r="G123" s="36"/>
    </row>
    <row r="124" spans="7:7" x14ac:dyDescent="0.25">
      <c r="G124" s="36"/>
    </row>
    <row r="125" spans="7:7" x14ac:dyDescent="0.25">
      <c r="G125" s="36"/>
    </row>
    <row r="126" spans="7:7" x14ac:dyDescent="0.25">
      <c r="G126" s="36"/>
    </row>
    <row r="127" spans="7:7" x14ac:dyDescent="0.25">
      <c r="G127" s="36"/>
    </row>
    <row r="128" spans="7:7" x14ac:dyDescent="0.25">
      <c r="G128" s="36"/>
    </row>
    <row r="129" spans="7:7" x14ac:dyDescent="0.25">
      <c r="G129" s="36"/>
    </row>
    <row r="130" spans="7:7" x14ac:dyDescent="0.25">
      <c r="G130" s="36"/>
    </row>
    <row r="131" spans="7:7" x14ac:dyDescent="0.25">
      <c r="G131" s="36"/>
    </row>
    <row r="132" spans="7:7" x14ac:dyDescent="0.25">
      <c r="G132" s="36"/>
    </row>
    <row r="133" spans="7:7" x14ac:dyDescent="0.25">
      <c r="G133" s="36"/>
    </row>
    <row r="134" spans="7:7" x14ac:dyDescent="0.25">
      <c r="G134" s="36"/>
    </row>
    <row r="135" spans="7:7" x14ac:dyDescent="0.25">
      <c r="G135" s="36"/>
    </row>
    <row r="136" spans="7:7" x14ac:dyDescent="0.25">
      <c r="G136" s="36"/>
    </row>
    <row r="137" spans="7:7" x14ac:dyDescent="0.25">
      <c r="G137" s="36"/>
    </row>
    <row r="138" spans="7:7" x14ac:dyDescent="0.25">
      <c r="G138" s="36"/>
    </row>
    <row r="139" spans="7:7" x14ac:dyDescent="0.25">
      <c r="G139" s="36"/>
    </row>
    <row r="140" spans="7:7" x14ac:dyDescent="0.25">
      <c r="G140" s="36"/>
    </row>
    <row r="141" spans="7:7" x14ac:dyDescent="0.25">
      <c r="G141" s="36"/>
    </row>
    <row r="142" spans="7:7" x14ac:dyDescent="0.25">
      <c r="G142" s="36"/>
    </row>
    <row r="143" spans="7:7" x14ac:dyDescent="0.25">
      <c r="G143" s="36"/>
    </row>
    <row r="144" spans="7:7" x14ac:dyDescent="0.25">
      <c r="G144" s="36"/>
    </row>
    <row r="145" spans="7:7" x14ac:dyDescent="0.25">
      <c r="G145" s="36"/>
    </row>
    <row r="146" spans="7:7" x14ac:dyDescent="0.25">
      <c r="G146" s="36"/>
    </row>
    <row r="147" spans="7:7" x14ac:dyDescent="0.25">
      <c r="G147" s="36"/>
    </row>
    <row r="148" spans="7:7" x14ac:dyDescent="0.25">
      <c r="G148" s="36"/>
    </row>
    <row r="149" spans="7:7" x14ac:dyDescent="0.25">
      <c r="G149" s="36"/>
    </row>
    <row r="150" spans="7:7" x14ac:dyDescent="0.25">
      <c r="G150" s="36"/>
    </row>
    <row r="151" spans="7:7" x14ac:dyDescent="0.25">
      <c r="G151" s="36"/>
    </row>
    <row r="152" spans="7:7" x14ac:dyDescent="0.25">
      <c r="G152" s="36"/>
    </row>
    <row r="153" spans="7:7" x14ac:dyDescent="0.25">
      <c r="G153" s="36"/>
    </row>
    <row r="154" spans="7:7" x14ac:dyDescent="0.25">
      <c r="G154" s="36"/>
    </row>
    <row r="155" spans="7:7" x14ac:dyDescent="0.25">
      <c r="G155" s="36"/>
    </row>
    <row r="156" spans="7:7" x14ac:dyDescent="0.25">
      <c r="G156" s="36"/>
    </row>
    <row r="157" spans="7:7" x14ac:dyDescent="0.25">
      <c r="G157" s="36"/>
    </row>
    <row r="158" spans="7:7" x14ac:dyDescent="0.25">
      <c r="G158" s="36"/>
    </row>
    <row r="159" spans="7:7" x14ac:dyDescent="0.25">
      <c r="G159" s="36"/>
    </row>
    <row r="160" spans="7:7" x14ac:dyDescent="0.25">
      <c r="G160" s="36"/>
    </row>
    <row r="161" spans="7:7" x14ac:dyDescent="0.25">
      <c r="G161" s="36"/>
    </row>
    <row r="162" spans="7:7" x14ac:dyDescent="0.25">
      <c r="G162" s="36"/>
    </row>
    <row r="163" spans="7:7" x14ac:dyDescent="0.25">
      <c r="G163" s="36"/>
    </row>
    <row r="164" spans="7:7" x14ac:dyDescent="0.25">
      <c r="G164" s="36"/>
    </row>
    <row r="165" spans="7:7" x14ac:dyDescent="0.25">
      <c r="G165" s="36"/>
    </row>
    <row r="166" spans="7:7" x14ac:dyDescent="0.25">
      <c r="G166" s="36"/>
    </row>
    <row r="167" spans="7:7" x14ac:dyDescent="0.25">
      <c r="G167" s="36"/>
    </row>
    <row r="168" spans="7:7" x14ac:dyDescent="0.25">
      <c r="G168" s="36"/>
    </row>
    <row r="169" spans="7:7" x14ac:dyDescent="0.25">
      <c r="G169" s="36"/>
    </row>
    <row r="170" spans="7:7" x14ac:dyDescent="0.25">
      <c r="G170" s="36"/>
    </row>
    <row r="171" spans="7:7" x14ac:dyDescent="0.25">
      <c r="G171" s="36"/>
    </row>
    <row r="172" spans="7:7" x14ac:dyDescent="0.25">
      <c r="G172" s="36"/>
    </row>
    <row r="173" spans="7:7" x14ac:dyDescent="0.25">
      <c r="G173" s="36"/>
    </row>
    <row r="174" spans="7:7" x14ac:dyDescent="0.25">
      <c r="G174" s="36"/>
    </row>
    <row r="175" spans="7:7" x14ac:dyDescent="0.25">
      <c r="G175" s="36"/>
    </row>
    <row r="176" spans="7:7" x14ac:dyDescent="0.25">
      <c r="G176" s="36"/>
    </row>
    <row r="177" spans="1:11" x14ac:dyDescent="0.25">
      <c r="G177" s="36"/>
    </row>
    <row r="178" spans="1:11" x14ac:dyDescent="0.25">
      <c r="G178" s="36"/>
    </row>
    <row r="179" spans="1:11" x14ac:dyDescent="0.25">
      <c r="G179" s="36"/>
    </row>
    <row r="180" spans="1:11" x14ac:dyDescent="0.25">
      <c r="G180" s="36"/>
    </row>
    <row r="181" spans="1:11" x14ac:dyDescent="0.25">
      <c r="G181" s="36"/>
    </row>
    <row r="182" spans="1:11" x14ac:dyDescent="0.25">
      <c r="G182" s="36"/>
    </row>
    <row r="183" spans="1:11" x14ac:dyDescent="0.25">
      <c r="G183" s="36"/>
    </row>
    <row r="184" spans="1:11" x14ac:dyDescent="0.25">
      <c r="G184" s="36"/>
    </row>
    <row r="185" spans="1:11" ht="14.4" thickBot="1" x14ac:dyDescent="0.3">
      <c r="G185" s="36"/>
    </row>
    <row r="186" spans="1:11" ht="14.4" thickBot="1" x14ac:dyDescent="0.3">
      <c r="A186" s="536" t="s">
        <v>62</v>
      </c>
      <c r="B186" s="539" t="s">
        <v>63</v>
      </c>
      <c r="C186" s="540"/>
      <c r="D186" s="540"/>
      <c r="E186" s="540"/>
      <c r="F186" s="540"/>
      <c r="G186" s="540"/>
      <c r="H186" s="540"/>
      <c r="I186" s="540"/>
      <c r="J186" s="540"/>
      <c r="K186" s="541"/>
    </row>
    <row r="187" spans="1:11" ht="14.4" thickBot="1" x14ac:dyDescent="0.3">
      <c r="A187" s="537"/>
      <c r="B187" s="1"/>
      <c r="C187" s="2"/>
      <c r="D187" s="2"/>
      <c r="E187" s="2"/>
      <c r="F187" s="2"/>
      <c r="G187" s="49" t="s">
        <v>64</v>
      </c>
      <c r="H187" s="247"/>
      <c r="I187" s="248"/>
      <c r="J187" s="249"/>
      <c r="K187" s="51"/>
    </row>
    <row r="188" spans="1:11" x14ac:dyDescent="0.25">
      <c r="A188" s="537"/>
      <c r="B188" s="52"/>
      <c r="C188" s="250"/>
      <c r="D188" s="250"/>
      <c r="E188" s="250"/>
      <c r="F188" s="250"/>
      <c r="G188" s="53" t="s">
        <v>65</v>
      </c>
      <c r="H188" s="253"/>
      <c r="I188" s="254"/>
      <c r="J188" s="255"/>
      <c r="K188" s="55"/>
    </row>
    <row r="189" spans="1:11" x14ac:dyDescent="0.25">
      <c r="A189" s="537"/>
      <c r="B189" s="256"/>
      <c r="C189" s="257"/>
      <c r="D189" s="257"/>
      <c r="E189" s="257"/>
      <c r="F189" s="257"/>
      <c r="G189" s="56" t="s">
        <v>66</v>
      </c>
      <c r="H189" s="260"/>
      <c r="I189" s="261"/>
      <c r="J189" s="262"/>
      <c r="K189" s="51"/>
    </row>
    <row r="190" spans="1:11" ht="14.4" thickBot="1" x14ac:dyDescent="0.3">
      <c r="A190" s="537"/>
      <c r="B190" s="263"/>
      <c r="C190" s="264"/>
      <c r="D190" s="264"/>
      <c r="E190" s="264"/>
      <c r="F190" s="264"/>
      <c r="G190" s="58" t="s">
        <v>67</v>
      </c>
      <c r="H190" s="267"/>
      <c r="I190" s="268"/>
      <c r="J190" s="269"/>
      <c r="K190" s="60"/>
    </row>
    <row r="191" spans="1:11" ht="14.4" thickBot="1" x14ac:dyDescent="0.3">
      <c r="A191" s="538"/>
      <c r="B191" s="270"/>
      <c r="C191" s="271"/>
      <c r="D191" s="271"/>
      <c r="E191" s="271"/>
      <c r="F191" s="271"/>
      <c r="G191" s="61" t="s">
        <v>68</v>
      </c>
      <c r="H191" s="274"/>
      <c r="I191" s="275"/>
      <c r="J191" s="276"/>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96"/>
  <sheetViews>
    <sheetView showGridLines="0" showZeros="0" zoomScale="70" zoomScaleNormal="70" workbookViewId="0">
      <pane ySplit="7" topLeftCell="A56" activePane="bottomLeft" state="frozen"/>
      <selection pane="bottomLeft" activeCell="AT7" sqref="AT7"/>
    </sheetView>
  </sheetViews>
  <sheetFormatPr defaultColWidth="9.109375" defaultRowHeight="13.2" x14ac:dyDescent="0.25"/>
  <cols>
    <col min="1" max="23" width="7.109375" style="8" customWidth="1"/>
    <col min="24" max="24" width="8.6640625" style="8" customWidth="1"/>
    <col min="25" max="25" width="52.109375" style="8" bestFit="1" customWidth="1"/>
    <col min="26" max="29" width="5.6640625" style="8" customWidth="1"/>
    <col min="30" max="34" width="8.6640625" style="8" customWidth="1"/>
    <col min="35" max="43" width="7.109375" style="8" customWidth="1"/>
    <col min="44" max="16384" width="9.109375" style="8"/>
  </cols>
  <sheetData>
    <row r="1" spans="1:48" ht="15" customHeight="1" x14ac:dyDescent="0.25">
      <c r="A1" s="295" t="s">
        <v>96</v>
      </c>
      <c r="B1" s="5"/>
      <c r="C1" s="5"/>
      <c r="D1" s="576">
        <v>98265</v>
      </c>
      <c r="E1" s="577"/>
      <c r="F1" s="6"/>
      <c r="G1" s="6"/>
      <c r="H1" s="6"/>
      <c r="I1" s="6"/>
      <c r="K1" s="6"/>
      <c r="L1" s="6"/>
      <c r="M1" s="6"/>
      <c r="N1" s="6"/>
      <c r="O1" s="6"/>
      <c r="P1" s="6"/>
      <c r="Q1" s="6"/>
      <c r="R1" s="6"/>
      <c r="S1" s="6"/>
      <c r="T1" s="6"/>
      <c r="U1" s="6"/>
      <c r="V1" s="7"/>
      <c r="W1" s="7"/>
      <c r="X1" s="7"/>
      <c r="Y1" s="579" t="s">
        <v>97</v>
      </c>
      <c r="Z1" s="7"/>
      <c r="AA1" s="7"/>
      <c r="AB1" s="7"/>
      <c r="AC1" s="7"/>
      <c r="AD1" s="6"/>
      <c r="AE1" s="6"/>
      <c r="AF1" s="6"/>
      <c r="AG1" s="6"/>
      <c r="AH1" s="6"/>
      <c r="AI1" s="6"/>
      <c r="AJ1" s="6"/>
      <c r="AK1" s="6"/>
      <c r="AL1" s="6"/>
      <c r="AM1" s="6"/>
      <c r="AN1" s="6"/>
      <c r="AO1" s="6"/>
      <c r="AP1" s="6"/>
      <c r="AQ1" s="6"/>
    </row>
    <row r="2" spans="1:48" ht="15" customHeight="1" x14ac:dyDescent="0.3">
      <c r="A2" s="296" t="s">
        <v>98</v>
      </c>
      <c r="B2" s="6"/>
      <c r="C2" s="6"/>
      <c r="D2" s="297">
        <v>91.85</v>
      </c>
      <c r="E2" s="298" t="s">
        <v>99</v>
      </c>
      <c r="F2" s="6"/>
      <c r="G2" s="6"/>
      <c r="H2" s="346"/>
      <c r="I2" s="6"/>
      <c r="J2" s="6"/>
      <c r="K2" s="6"/>
      <c r="L2" s="6"/>
      <c r="M2" s="6"/>
      <c r="N2" s="6"/>
      <c r="O2" s="6"/>
      <c r="P2" s="6"/>
      <c r="Q2" s="6"/>
      <c r="R2" s="6"/>
      <c r="S2" s="6"/>
      <c r="T2" s="6"/>
      <c r="U2" s="6"/>
      <c r="V2" s="7"/>
      <c r="W2" s="7"/>
      <c r="X2" s="7"/>
      <c r="Y2" s="579"/>
      <c r="Z2" s="7"/>
      <c r="AA2" s="7"/>
      <c r="AB2" s="7"/>
      <c r="AC2" s="7"/>
      <c r="AD2" s="6"/>
      <c r="AE2" s="6"/>
      <c r="AF2" s="6"/>
      <c r="AG2" s="6"/>
      <c r="AH2" s="6"/>
      <c r="AI2" s="6"/>
      <c r="AJ2" s="6"/>
      <c r="AK2" s="6"/>
      <c r="AL2" s="6"/>
      <c r="AM2" s="6"/>
      <c r="AN2" s="6"/>
      <c r="AO2" s="6"/>
      <c r="AP2" s="6"/>
      <c r="AQ2" s="6"/>
    </row>
    <row r="3" spans="1:48" ht="15" customHeight="1" thickBot="1" x14ac:dyDescent="0.3">
      <c r="A3" s="299" t="s">
        <v>100</v>
      </c>
      <c r="B3" s="9"/>
      <c r="C3" s="9"/>
      <c r="D3" s="9" t="s">
        <v>101</v>
      </c>
      <c r="E3" s="10"/>
      <c r="F3" s="6"/>
      <c r="G3" s="6"/>
      <c r="H3" s="6"/>
      <c r="I3" s="6"/>
      <c r="J3" s="6"/>
      <c r="K3" s="6"/>
      <c r="L3" s="6"/>
      <c r="M3" s="6"/>
      <c r="N3" s="6"/>
      <c r="O3" s="6"/>
      <c r="P3" s="6"/>
      <c r="Q3" s="6"/>
      <c r="R3" s="6"/>
      <c r="S3" s="6"/>
      <c r="T3" s="6"/>
      <c r="U3" s="6"/>
      <c r="V3" s="7"/>
      <c r="W3" s="7"/>
      <c r="X3" s="7"/>
      <c r="Y3" s="580" t="s">
        <v>486</v>
      </c>
      <c r="Z3" s="7"/>
      <c r="AA3" s="7"/>
      <c r="AB3" s="7"/>
      <c r="AC3" s="7"/>
      <c r="AD3" s="6"/>
      <c r="AE3" s="6"/>
      <c r="AF3" s="6"/>
      <c r="AG3" s="6"/>
      <c r="AH3" s="6"/>
      <c r="AI3" s="6"/>
      <c r="AJ3" s="6"/>
      <c r="AK3" s="6"/>
      <c r="AL3" s="6"/>
      <c r="AM3" s="6"/>
      <c r="AN3" s="6"/>
      <c r="AO3" s="6"/>
      <c r="AP3" s="6"/>
      <c r="AQ3" s="6"/>
    </row>
    <row r="4" spans="1:48" ht="15" customHeight="1" x14ac:dyDescent="0.25">
      <c r="A4" s="6"/>
      <c r="B4" s="6"/>
      <c r="C4" s="6"/>
      <c r="D4" s="6"/>
      <c r="E4" s="6"/>
      <c r="F4" s="6"/>
      <c r="G4" s="6"/>
      <c r="H4" s="6"/>
      <c r="I4" s="6"/>
      <c r="J4" s="6"/>
      <c r="K4" s="6"/>
      <c r="L4" s="6"/>
      <c r="M4" s="6"/>
      <c r="N4" s="6"/>
      <c r="O4" s="6"/>
      <c r="P4" s="6"/>
      <c r="Q4" s="6"/>
      <c r="R4" s="6"/>
      <c r="S4" s="6"/>
      <c r="T4" s="6"/>
      <c r="U4" s="6"/>
      <c r="V4" s="7"/>
      <c r="W4" s="7"/>
      <c r="X4" s="7"/>
      <c r="Y4" s="580"/>
      <c r="Z4" s="7"/>
      <c r="AA4" s="7"/>
      <c r="AB4" s="7"/>
      <c r="AC4" s="7"/>
      <c r="AD4" s="6"/>
      <c r="AE4" s="6"/>
      <c r="AF4" s="6"/>
      <c r="AG4" s="6"/>
      <c r="AH4" s="6"/>
      <c r="AI4" s="6"/>
      <c r="AJ4" s="6"/>
      <c r="AK4" s="6"/>
      <c r="AL4" s="6"/>
      <c r="AM4" s="6"/>
      <c r="AN4" s="6"/>
      <c r="AO4" s="6"/>
      <c r="AP4" s="6"/>
      <c r="AQ4" s="6"/>
    </row>
    <row r="5" spans="1:48" ht="15" customHeight="1" x14ac:dyDescent="0.25">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3">
      <c r="A6" s="578" t="s">
        <v>102</v>
      </c>
      <c r="B6" s="578"/>
      <c r="C6" s="578"/>
      <c r="D6" s="578"/>
      <c r="E6" s="578"/>
      <c r="F6" s="578"/>
      <c r="G6" s="578"/>
      <c r="H6" s="578"/>
      <c r="I6" s="578"/>
      <c r="J6" s="578"/>
      <c r="K6" s="578"/>
      <c r="L6" s="578"/>
      <c r="M6" s="578"/>
      <c r="N6" s="578"/>
      <c r="O6" s="578"/>
      <c r="P6" s="578"/>
      <c r="Q6" s="578"/>
      <c r="R6" s="578"/>
      <c r="S6" s="578"/>
      <c r="T6" s="578"/>
      <c r="U6" s="578"/>
      <c r="V6" s="578"/>
      <c r="W6" s="578"/>
      <c r="X6" s="578"/>
      <c r="Y6" s="504" t="s">
        <v>103</v>
      </c>
      <c r="Z6" s="578" t="s">
        <v>104</v>
      </c>
      <c r="AA6" s="578"/>
      <c r="AB6" s="578"/>
      <c r="AC6" s="578"/>
      <c r="AD6" s="578" t="s">
        <v>105</v>
      </c>
      <c r="AE6" s="578"/>
      <c r="AF6" s="578" t="s">
        <v>106</v>
      </c>
      <c r="AG6" s="578"/>
      <c r="AH6" s="300"/>
      <c r="AI6" s="578" t="s">
        <v>107</v>
      </c>
      <c r="AJ6" s="578"/>
      <c r="AK6" s="578"/>
      <c r="AL6" s="578"/>
      <c r="AM6" s="578"/>
      <c r="AN6" s="578"/>
      <c r="AO6" s="578"/>
      <c r="AP6" s="578"/>
      <c r="AQ6" s="578"/>
    </row>
    <row r="7" spans="1:48" s="14" customFormat="1" ht="159.9" customHeight="1" thickBot="1" x14ac:dyDescent="0.8">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1" t="s">
        <v>131</v>
      </c>
      <c r="Y7" s="302"/>
      <c r="Z7" s="303" t="s">
        <v>132</v>
      </c>
      <c r="AA7" s="12" t="s">
        <v>133</v>
      </c>
      <c r="AB7" s="12" t="s">
        <v>134</v>
      </c>
      <c r="AC7" s="301" t="s">
        <v>135</v>
      </c>
      <c r="AD7" s="11" t="s">
        <v>136</v>
      </c>
      <c r="AE7" s="301" t="s">
        <v>137</v>
      </c>
      <c r="AF7" s="11" t="s">
        <v>136</v>
      </c>
      <c r="AG7" s="301" t="s">
        <v>137</v>
      </c>
      <c r="AH7" s="13" t="s">
        <v>138</v>
      </c>
      <c r="AI7" s="304" t="s">
        <v>139</v>
      </c>
      <c r="AJ7" s="12" t="s">
        <v>140</v>
      </c>
      <c r="AK7" s="12" t="s">
        <v>141</v>
      </c>
      <c r="AL7" s="12" t="s">
        <v>142</v>
      </c>
      <c r="AM7" s="12" t="s">
        <v>143</v>
      </c>
      <c r="AN7" s="12" t="s">
        <v>144</v>
      </c>
      <c r="AO7" s="305" t="s">
        <v>145</v>
      </c>
      <c r="AP7" s="305" t="s">
        <v>146</v>
      </c>
      <c r="AQ7" s="301" t="s">
        <v>147</v>
      </c>
    </row>
    <row r="8" spans="1:48" ht="15" customHeight="1" x14ac:dyDescent="0.25">
      <c r="A8" s="260"/>
      <c r="B8" s="261"/>
      <c r="C8" s="261"/>
      <c r="D8" s="261"/>
      <c r="E8" s="261"/>
      <c r="F8" s="261"/>
      <c r="G8" s="261"/>
      <c r="H8" s="261"/>
      <c r="I8" s="261"/>
      <c r="J8" s="261"/>
      <c r="K8" s="261"/>
      <c r="L8" s="261"/>
      <c r="M8" s="261"/>
      <c r="N8" s="261"/>
      <c r="O8" s="261"/>
      <c r="P8" s="261"/>
      <c r="Q8" s="261"/>
      <c r="R8" s="261"/>
      <c r="S8" s="261"/>
      <c r="T8" s="261"/>
      <c r="U8" s="261"/>
      <c r="V8" s="261"/>
      <c r="W8" s="261"/>
      <c r="X8" s="306">
        <f t="shared" ref="X8:X80" si="0">SUM(A8:W8)</f>
        <v>0</v>
      </c>
      <c r="Y8" s="207" t="s">
        <v>148</v>
      </c>
      <c r="Z8" s="260"/>
      <c r="AA8" s="261">
        <v>44</v>
      </c>
      <c r="AB8" s="261"/>
      <c r="AC8" s="306"/>
      <c r="AD8" s="260">
        <f t="shared" ref="AD8:AD13" si="1">-AE8/$D$2%</f>
        <v>-100.21279754540507</v>
      </c>
      <c r="AE8" s="321">
        <f>AH8/AA8%</f>
        <v>92.045454545454547</v>
      </c>
      <c r="AF8" s="320"/>
      <c r="AG8" s="321"/>
      <c r="AH8" s="347">
        <f t="shared" ref="AH8:AH14" si="2">SUM(AI8:AQ8)</f>
        <v>40.5</v>
      </c>
      <c r="AI8" s="15">
        <v>40.5</v>
      </c>
      <c r="AJ8" s="319"/>
      <c r="AK8" s="319"/>
      <c r="AL8" s="319"/>
      <c r="AM8" s="319"/>
      <c r="AN8" s="319"/>
      <c r="AO8" s="319"/>
      <c r="AP8" s="319"/>
      <c r="AQ8" s="482"/>
    </row>
    <row r="9" spans="1:48" ht="15" customHeight="1" x14ac:dyDescent="0.25">
      <c r="A9" s="260"/>
      <c r="B9" s="261"/>
      <c r="C9" s="261"/>
      <c r="D9" s="261"/>
      <c r="E9" s="261"/>
      <c r="F9" s="261"/>
      <c r="G9" s="261"/>
      <c r="H9" s="261"/>
      <c r="I9" s="261"/>
      <c r="J9" s="261"/>
      <c r="K9" s="261"/>
      <c r="L9" s="261"/>
      <c r="M9" s="261"/>
      <c r="N9" s="261"/>
      <c r="O9" s="261"/>
      <c r="P9" s="261"/>
      <c r="Q9" s="261"/>
      <c r="R9" s="261"/>
      <c r="S9" s="261"/>
      <c r="T9" s="261"/>
      <c r="U9" s="261"/>
      <c r="V9" s="261"/>
      <c r="W9" s="261"/>
      <c r="X9" s="306">
        <f t="shared" si="0"/>
        <v>0</v>
      </c>
      <c r="Y9" s="207" t="s">
        <v>149</v>
      </c>
      <c r="Z9" s="260"/>
      <c r="AA9" s="261"/>
      <c r="AB9" s="261">
        <v>90</v>
      </c>
      <c r="AC9" s="306"/>
      <c r="AD9" s="260">
        <f t="shared" si="1"/>
        <v>-7.5001512127260632</v>
      </c>
      <c r="AE9" s="321">
        <f>AH9/AB9%</f>
        <v>6.8888888888888893</v>
      </c>
      <c r="AF9" s="320"/>
      <c r="AG9" s="321"/>
      <c r="AH9" s="347">
        <f t="shared" si="2"/>
        <v>6.2</v>
      </c>
      <c r="AI9" s="15">
        <v>6.2</v>
      </c>
      <c r="AJ9" s="319"/>
      <c r="AK9" s="319"/>
      <c r="AL9" s="319"/>
      <c r="AM9" s="319"/>
      <c r="AN9" s="319"/>
      <c r="AO9" s="319"/>
      <c r="AP9" s="319"/>
      <c r="AQ9" s="482"/>
    </row>
    <row r="10" spans="1:48" ht="15" customHeight="1" x14ac:dyDescent="0.25">
      <c r="A10" s="260"/>
      <c r="B10" s="261"/>
      <c r="C10" s="261"/>
      <c r="D10" s="261"/>
      <c r="E10" s="261"/>
      <c r="F10" s="261"/>
      <c r="G10" s="261"/>
      <c r="H10" s="261"/>
      <c r="I10" s="261"/>
      <c r="J10" s="261"/>
      <c r="K10" s="261"/>
      <c r="L10" s="261"/>
      <c r="M10" s="261"/>
      <c r="N10" s="261"/>
      <c r="O10" s="261"/>
      <c r="P10" s="261"/>
      <c r="Q10" s="261"/>
      <c r="R10" s="261"/>
      <c r="S10" s="261"/>
      <c r="T10" s="261"/>
      <c r="U10" s="261"/>
      <c r="V10" s="261"/>
      <c r="W10" s="261"/>
      <c r="X10" s="306">
        <f t="shared" si="0"/>
        <v>0</v>
      </c>
      <c r="Y10" s="207" t="s">
        <v>150</v>
      </c>
      <c r="Z10" s="260"/>
      <c r="AA10" s="261"/>
      <c r="AB10" s="261">
        <v>100</v>
      </c>
      <c r="AC10" s="306"/>
      <c r="AD10" s="260">
        <f t="shared" si="1"/>
        <v>-32.00870985302123</v>
      </c>
      <c r="AE10" s="321">
        <f>AH10/AB10%</f>
        <v>29.4</v>
      </c>
      <c r="AF10" s="320"/>
      <c r="AG10" s="321"/>
      <c r="AH10" s="347">
        <f t="shared" si="2"/>
        <v>29.4</v>
      </c>
      <c r="AI10" s="15">
        <v>29.4</v>
      </c>
      <c r="AJ10" s="319"/>
      <c r="AK10" s="319"/>
      <c r="AL10" s="319"/>
      <c r="AM10" s="319"/>
      <c r="AN10" s="319"/>
      <c r="AO10" s="319"/>
      <c r="AP10" s="319"/>
      <c r="AQ10" s="482"/>
    </row>
    <row r="11" spans="1:48" ht="1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306">
        <f t="shared" si="0"/>
        <v>0</v>
      </c>
      <c r="Y11" s="207" t="s">
        <v>151</v>
      </c>
      <c r="Z11" s="260"/>
      <c r="AA11" s="261">
        <v>50</v>
      </c>
      <c r="AB11" s="261"/>
      <c r="AC11" s="306"/>
      <c r="AD11" s="260">
        <f t="shared" si="1"/>
        <v>-259.23549706368334</v>
      </c>
      <c r="AE11" s="321">
        <f>AH11/AA11%</f>
        <v>238.10780405299315</v>
      </c>
      <c r="AF11" s="320"/>
      <c r="AG11" s="321"/>
      <c r="AH11" s="347">
        <f t="shared" si="2"/>
        <v>119.05390202649657</v>
      </c>
      <c r="AI11" s="15">
        <v>46.010289091700542</v>
      </c>
      <c r="AJ11" s="15">
        <v>22.718153257843227</v>
      </c>
      <c r="AK11" s="15">
        <v>13.335913320128627</v>
      </c>
      <c r="AL11" s="15">
        <v>19.417644533969696</v>
      </c>
      <c r="AM11" s="15">
        <v>0.43494709198286113</v>
      </c>
      <c r="AN11" s="15">
        <v>10.511732351298905</v>
      </c>
      <c r="AO11" s="15">
        <v>9.4099299204511919E-2</v>
      </c>
      <c r="AP11" s="15">
        <v>6.5311230803682063</v>
      </c>
      <c r="AQ11" s="482"/>
    </row>
    <row r="12" spans="1:48" ht="15" customHeight="1" x14ac:dyDescent="0.25">
      <c r="A12" s="260"/>
      <c r="B12" s="261"/>
      <c r="C12" s="261"/>
      <c r="D12" s="261"/>
      <c r="E12" s="261"/>
      <c r="F12" s="261"/>
      <c r="G12" s="261"/>
      <c r="H12" s="261"/>
      <c r="I12" s="261"/>
      <c r="J12" s="261"/>
      <c r="K12" s="261"/>
      <c r="L12" s="261"/>
      <c r="M12" s="261"/>
      <c r="N12" s="261"/>
      <c r="O12" s="261"/>
      <c r="P12" s="261"/>
      <c r="Q12" s="261"/>
      <c r="R12" s="261"/>
      <c r="S12" s="261"/>
      <c r="T12" s="261"/>
      <c r="U12" s="261"/>
      <c r="V12" s="261"/>
      <c r="W12" s="261"/>
      <c r="X12" s="306">
        <f t="shared" si="0"/>
        <v>0</v>
      </c>
      <c r="Y12" s="207" t="s">
        <v>152</v>
      </c>
      <c r="Z12" s="260"/>
      <c r="AA12" s="261">
        <v>150</v>
      </c>
      <c r="AB12" s="261"/>
      <c r="AC12" s="306"/>
      <c r="AD12" s="260">
        <f t="shared" si="1"/>
        <v>-232.82836592102817</v>
      </c>
      <c r="AE12" s="321">
        <f>AH12/AA12%</f>
        <v>213.85285409846438</v>
      </c>
      <c r="AF12" s="320"/>
      <c r="AG12" s="321"/>
      <c r="AH12" s="347">
        <f t="shared" si="2"/>
        <v>320.77928114769657</v>
      </c>
      <c r="AI12" s="15">
        <v>162.9654755570555</v>
      </c>
      <c r="AJ12" s="15"/>
      <c r="AK12" s="15">
        <v>44.808668755632191</v>
      </c>
      <c r="AL12" s="15">
        <v>65.243285634138189</v>
      </c>
      <c r="AM12" s="15">
        <v>1.7397883679314448</v>
      </c>
      <c r="AN12" s="15">
        <v>42.04692940519562</v>
      </c>
      <c r="AO12" s="15">
        <v>5.6459579522707144E-2</v>
      </c>
      <c r="AP12" s="15">
        <v>3.9186738482209234</v>
      </c>
      <c r="AQ12" s="482"/>
    </row>
    <row r="13" spans="1:48" ht="15" customHeight="1" x14ac:dyDescent="0.25">
      <c r="A13" s="260"/>
      <c r="B13" s="261"/>
      <c r="C13" s="261"/>
      <c r="D13" s="261"/>
      <c r="E13" s="261"/>
      <c r="F13" s="261"/>
      <c r="G13" s="261"/>
      <c r="H13" s="261"/>
      <c r="I13" s="261"/>
      <c r="J13" s="261"/>
      <c r="K13" s="261"/>
      <c r="L13" s="261"/>
      <c r="M13" s="261"/>
      <c r="N13" s="261"/>
      <c r="O13" s="261"/>
      <c r="P13" s="261"/>
      <c r="Q13" s="261"/>
      <c r="R13" s="261"/>
      <c r="S13" s="261"/>
      <c r="T13" s="261"/>
      <c r="U13" s="261"/>
      <c r="V13" s="261"/>
      <c r="W13" s="261"/>
      <c r="X13" s="306">
        <f t="shared" si="0"/>
        <v>0</v>
      </c>
      <c r="Y13" s="207" t="s">
        <v>153</v>
      </c>
      <c r="Z13" s="260"/>
      <c r="AA13" s="261">
        <v>85</v>
      </c>
      <c r="AB13" s="261"/>
      <c r="AC13" s="306"/>
      <c r="AD13" s="260">
        <f t="shared" si="1"/>
        <v>-1017.3250697350237</v>
      </c>
      <c r="AE13" s="321">
        <f>AH13/AA13%</f>
        <v>934.41307655161927</v>
      </c>
      <c r="AF13" s="320"/>
      <c r="AG13" s="321"/>
      <c r="AH13" s="347">
        <f t="shared" si="2"/>
        <v>794.2511150688764</v>
      </c>
      <c r="AI13" s="15">
        <v>255.84689140733357</v>
      </c>
      <c r="AJ13" s="15">
        <v>104.41936367771646</v>
      </c>
      <c r="AK13" s="15">
        <v>42.621578971131093</v>
      </c>
      <c r="AL13" s="15">
        <v>62.058791930567139</v>
      </c>
      <c r="AM13" s="15">
        <v>10.598210807982381</v>
      </c>
      <c r="AN13" s="15">
        <v>256.13587829331669</v>
      </c>
      <c r="AO13" s="15">
        <v>0.87449615394059732</v>
      </c>
      <c r="AP13" s="15">
        <v>60.695903826888525</v>
      </c>
      <c r="AQ13" s="17">
        <v>1</v>
      </c>
    </row>
    <row r="14" spans="1:48" ht="15" customHeight="1" x14ac:dyDescent="0.25">
      <c r="A14" s="260"/>
      <c r="B14" s="307"/>
      <c r="C14" s="261"/>
      <c r="D14" s="261"/>
      <c r="E14" s="261"/>
      <c r="F14" s="261"/>
      <c r="G14" s="261"/>
      <c r="H14" s="261"/>
      <c r="I14" s="261"/>
      <c r="J14" s="261"/>
      <c r="K14" s="261"/>
      <c r="L14" s="261"/>
      <c r="M14" s="261"/>
      <c r="N14" s="15">
        <f>AH14-AE14</f>
        <v>18</v>
      </c>
      <c r="O14" s="261"/>
      <c r="P14" s="261"/>
      <c r="Q14" s="261"/>
      <c r="R14" s="261"/>
      <c r="S14" s="261"/>
      <c r="T14" s="261"/>
      <c r="U14" s="261"/>
      <c r="V14" s="261"/>
      <c r="W14" s="261"/>
      <c r="X14" s="306">
        <f t="shared" si="0"/>
        <v>18</v>
      </c>
      <c r="Y14" s="207" t="s">
        <v>154</v>
      </c>
      <c r="Z14" s="260"/>
      <c r="AA14" s="261"/>
      <c r="AB14" s="261">
        <v>300</v>
      </c>
      <c r="AC14" s="306"/>
      <c r="AD14" s="260">
        <f>-AE14/$D$2%</f>
        <v>-9.7985846488840505</v>
      </c>
      <c r="AE14" s="17">
        <v>9</v>
      </c>
      <c r="AF14" s="320"/>
      <c r="AG14" s="321"/>
      <c r="AH14" s="347">
        <f t="shared" si="2"/>
        <v>27</v>
      </c>
      <c r="AI14" s="309">
        <f>AE14*AB14/100</f>
        <v>27</v>
      </c>
      <c r="AJ14" s="307"/>
      <c r="AK14" s="307"/>
      <c r="AL14" s="307"/>
      <c r="AM14" s="307"/>
      <c r="AN14" s="307"/>
      <c r="AO14" s="307"/>
      <c r="AP14" s="307"/>
      <c r="AQ14" s="321"/>
      <c r="AV14" s="18"/>
    </row>
    <row r="15" spans="1:48" ht="15" customHeight="1" x14ac:dyDescent="0.25">
      <c r="A15" s="19">
        <f>Z15%*AD15</f>
        <v>-130.94872402022855</v>
      </c>
      <c r="B15" s="307"/>
      <c r="C15" s="261"/>
      <c r="D15" s="261"/>
      <c r="E15" s="261"/>
      <c r="F15" s="261"/>
      <c r="G15" s="261"/>
      <c r="H15" s="261"/>
      <c r="I15" s="261"/>
      <c r="J15" s="261"/>
      <c r="K15" s="261"/>
      <c r="L15" s="261"/>
      <c r="M15" s="261"/>
      <c r="N15" s="261"/>
      <c r="O15" s="261"/>
      <c r="P15" s="261"/>
      <c r="Q15" s="261"/>
      <c r="R15" s="261"/>
      <c r="S15" s="261"/>
      <c r="T15" s="261"/>
      <c r="U15" s="261"/>
      <c r="V15" s="261"/>
      <c r="W15" s="261"/>
      <c r="X15" s="306">
        <f t="shared" si="0"/>
        <v>-130.94872402022855</v>
      </c>
      <c r="Y15" s="207" t="s">
        <v>155</v>
      </c>
      <c r="Z15" s="260">
        <v>100</v>
      </c>
      <c r="AA15" s="261"/>
      <c r="AB15" s="261"/>
      <c r="AC15" s="306"/>
      <c r="AD15" s="260">
        <f>-SUM(AD16:AD80,AD8:AD14)</f>
        <v>-130.94872402022855</v>
      </c>
      <c r="AE15" s="321"/>
      <c r="AF15" s="320"/>
      <c r="AG15" s="321"/>
      <c r="AH15" s="347">
        <f t="shared" ref="AH15:AH52" si="3">SUM(AI15:AQ15)</f>
        <v>0</v>
      </c>
      <c r="AI15" s="320"/>
      <c r="AJ15" s="307"/>
      <c r="AK15" s="307"/>
      <c r="AL15" s="307"/>
      <c r="AM15" s="307"/>
      <c r="AN15" s="307"/>
      <c r="AO15" s="307"/>
      <c r="AP15" s="307"/>
      <c r="AQ15" s="321"/>
      <c r="AV15" s="18"/>
    </row>
    <row r="16" spans="1:48" ht="15" customHeight="1" x14ac:dyDescent="0.25">
      <c r="A16" s="348"/>
      <c r="B16" s="15">
        <v>43</v>
      </c>
      <c r="C16" s="311"/>
      <c r="D16" s="311"/>
      <c r="E16" s="312"/>
      <c r="F16" s="312"/>
      <c r="G16" s="312"/>
      <c r="H16" s="312"/>
      <c r="I16" s="312"/>
      <c r="J16" s="311"/>
      <c r="K16" s="311"/>
      <c r="L16" s="311"/>
      <c r="M16" s="311"/>
      <c r="N16" s="311"/>
      <c r="O16" s="311"/>
      <c r="P16" s="311"/>
      <c r="Q16" s="311"/>
      <c r="R16" s="311"/>
      <c r="S16" s="311"/>
      <c r="T16" s="311"/>
      <c r="U16" s="311"/>
      <c r="V16" s="311"/>
      <c r="W16" s="311"/>
      <c r="X16" s="306">
        <f t="shared" si="0"/>
        <v>43</v>
      </c>
      <c r="Y16" s="314" t="s">
        <v>156</v>
      </c>
      <c r="Z16" s="310"/>
      <c r="AA16" s="311"/>
      <c r="AB16" s="312">
        <v>38</v>
      </c>
      <c r="AC16" s="313"/>
      <c r="AD16" s="310"/>
      <c r="AE16" s="313"/>
      <c r="AF16" s="310"/>
      <c r="AG16" s="313"/>
      <c r="AH16" s="20">
        <f t="shared" si="3"/>
        <v>16.34</v>
      </c>
      <c r="AI16" s="315">
        <f>X16*AB16/100*0.2</f>
        <v>3.2680000000000002</v>
      </c>
      <c r="AJ16" s="316"/>
      <c r="AK16" s="316"/>
      <c r="AL16" s="316"/>
      <c r="AM16" s="316"/>
      <c r="AN16" s="316">
        <f>X16*AB16/100*0.6</f>
        <v>9.8040000000000003</v>
      </c>
      <c r="AO16" s="316"/>
      <c r="AP16" s="316"/>
      <c r="AQ16" s="317">
        <f>X16*AB16/100*0.2</f>
        <v>3.2680000000000002</v>
      </c>
      <c r="AV16" s="18"/>
    </row>
    <row r="17" spans="1:48" ht="15" customHeight="1" x14ac:dyDescent="0.25">
      <c r="A17" s="260"/>
      <c r="B17" s="307"/>
      <c r="C17" s="261"/>
      <c r="D17" s="261"/>
      <c r="E17" s="15">
        <v>145.69999999999999</v>
      </c>
      <c r="F17" s="307"/>
      <c r="G17" s="307"/>
      <c r="H17" s="307"/>
      <c r="I17" s="307"/>
      <c r="J17" s="261"/>
      <c r="K17" s="261"/>
      <c r="L17" s="261"/>
      <c r="M17" s="261"/>
      <c r="N17" s="307"/>
      <c r="O17" s="307"/>
      <c r="P17" s="307"/>
      <c r="Q17" s="307"/>
      <c r="R17" s="307"/>
      <c r="S17" s="307"/>
      <c r="T17" s="307"/>
      <c r="U17" s="307"/>
      <c r="V17" s="307"/>
      <c r="W17" s="307"/>
      <c r="X17" s="306">
        <f t="shared" si="0"/>
        <v>145.69999999999999</v>
      </c>
      <c r="Y17" s="207" t="s">
        <v>157</v>
      </c>
      <c r="Z17" s="260"/>
      <c r="AA17" s="261"/>
      <c r="AB17" s="307">
        <v>80</v>
      </c>
      <c r="AC17" s="306"/>
      <c r="AD17" s="260"/>
      <c r="AE17" s="306"/>
      <c r="AF17" s="260"/>
      <c r="AG17" s="306"/>
      <c r="AH17" s="20">
        <f t="shared" si="3"/>
        <v>116.56</v>
      </c>
      <c r="AI17" s="318">
        <f t="shared" ref="AI17:AI22" si="4">X17*AB17/100</f>
        <v>116.56</v>
      </c>
      <c r="AJ17" s="261"/>
      <c r="AK17" s="261"/>
      <c r="AL17" s="261"/>
      <c r="AM17" s="261"/>
      <c r="AN17" s="261"/>
      <c r="AO17" s="261"/>
      <c r="AP17" s="261"/>
      <c r="AQ17" s="306"/>
      <c r="AS17" s="18"/>
    </row>
    <row r="18" spans="1:48" ht="15" customHeight="1" x14ac:dyDescent="0.25">
      <c r="A18" s="260"/>
      <c r="B18" s="307"/>
      <c r="C18" s="261"/>
      <c r="D18" s="261"/>
      <c r="E18" s="307"/>
      <c r="F18" s="307"/>
      <c r="G18" s="307"/>
      <c r="H18" s="307"/>
      <c r="I18" s="15">
        <v>357.5</v>
      </c>
      <c r="J18" s="261"/>
      <c r="K18" s="261"/>
      <c r="L18" s="261"/>
      <c r="M18" s="261"/>
      <c r="N18" s="307"/>
      <c r="O18" s="307"/>
      <c r="P18" s="307"/>
      <c r="Q18" s="307"/>
      <c r="R18" s="307"/>
      <c r="S18" s="307"/>
      <c r="T18" s="307"/>
      <c r="U18" s="307"/>
      <c r="V18" s="307"/>
      <c r="W18" s="307"/>
      <c r="X18" s="306">
        <f t="shared" si="0"/>
        <v>357.5</v>
      </c>
      <c r="Y18" s="207" t="s">
        <v>158</v>
      </c>
      <c r="Z18" s="260"/>
      <c r="AA18" s="261"/>
      <c r="AB18" s="307">
        <v>85</v>
      </c>
      <c r="AC18" s="306"/>
      <c r="AD18" s="260"/>
      <c r="AE18" s="306"/>
      <c r="AF18" s="260"/>
      <c r="AG18" s="306"/>
      <c r="AH18" s="20">
        <f t="shared" si="3"/>
        <v>303.875</v>
      </c>
      <c r="AI18" s="318">
        <f t="shared" si="4"/>
        <v>303.875</v>
      </c>
      <c r="AJ18" s="261"/>
      <c r="AK18" s="261"/>
      <c r="AL18" s="261"/>
      <c r="AM18" s="261"/>
      <c r="AN18" s="261"/>
      <c r="AO18" s="261"/>
      <c r="AP18" s="261"/>
      <c r="AQ18" s="306"/>
      <c r="AS18" s="18"/>
    </row>
    <row r="19" spans="1:48" ht="15" customHeight="1" x14ac:dyDescent="0.25">
      <c r="A19" s="260"/>
      <c r="B19" s="261"/>
      <c r="C19" s="261"/>
      <c r="D19" s="261"/>
      <c r="E19" s="261"/>
      <c r="F19" s="261"/>
      <c r="G19" s="261"/>
      <c r="H19" s="261"/>
      <c r="I19" s="319"/>
      <c r="J19" s="261"/>
      <c r="K19" s="261"/>
      <c r="L19" s="261"/>
      <c r="M19" s="261"/>
      <c r="N19" s="307"/>
      <c r="O19" s="307"/>
      <c r="P19" s="307"/>
      <c r="Q19" s="319"/>
      <c r="R19" s="319"/>
      <c r="S19" s="15">
        <v>393</v>
      </c>
      <c r="T19" s="307"/>
      <c r="U19" s="307"/>
      <c r="V19" s="307"/>
      <c r="W19" s="307"/>
      <c r="X19" s="306">
        <f t="shared" si="0"/>
        <v>393</v>
      </c>
      <c r="Y19" s="207" t="s">
        <v>159</v>
      </c>
      <c r="Z19" s="260"/>
      <c r="AA19" s="261"/>
      <c r="AB19" s="307">
        <v>75</v>
      </c>
      <c r="AC19" s="306"/>
      <c r="AD19" s="260"/>
      <c r="AE19" s="306"/>
      <c r="AF19" s="260"/>
      <c r="AG19" s="306"/>
      <c r="AH19" s="20">
        <f t="shared" si="3"/>
        <v>294.75</v>
      </c>
      <c r="AI19" s="318">
        <f t="shared" si="4"/>
        <v>294.75</v>
      </c>
      <c r="AJ19" s="261"/>
      <c r="AK19" s="261"/>
      <c r="AL19" s="261"/>
      <c r="AM19" s="261"/>
      <c r="AN19" s="261"/>
      <c r="AO19" s="261"/>
      <c r="AP19" s="261"/>
      <c r="AQ19" s="306"/>
      <c r="AV19" s="18"/>
    </row>
    <row r="20" spans="1:48" ht="15" customHeight="1" x14ac:dyDescent="0.25">
      <c r="A20" s="260"/>
      <c r="B20" s="261"/>
      <c r="C20" s="261"/>
      <c r="D20" s="261"/>
      <c r="E20" s="261"/>
      <c r="F20" s="261"/>
      <c r="G20" s="261"/>
      <c r="H20" s="261"/>
      <c r="I20" s="319"/>
      <c r="J20" s="261"/>
      <c r="K20" s="261"/>
      <c r="L20" s="261"/>
      <c r="M20" s="261"/>
      <c r="N20" s="307"/>
      <c r="O20" s="307"/>
      <c r="P20" s="307"/>
      <c r="Q20" s="319"/>
      <c r="R20" s="15">
        <v>362</v>
      </c>
      <c r="S20" s="319"/>
      <c r="T20" s="307"/>
      <c r="U20" s="307"/>
      <c r="V20" s="307"/>
      <c r="W20" s="307"/>
      <c r="X20" s="306">
        <f t="shared" si="0"/>
        <v>362</v>
      </c>
      <c r="Y20" s="207" t="s">
        <v>160</v>
      </c>
      <c r="Z20" s="260"/>
      <c r="AA20" s="261"/>
      <c r="AB20" s="307">
        <v>65</v>
      </c>
      <c r="AC20" s="306"/>
      <c r="AD20" s="260"/>
      <c r="AE20" s="306"/>
      <c r="AF20" s="260"/>
      <c r="AG20" s="306"/>
      <c r="AH20" s="20">
        <f t="shared" si="3"/>
        <v>235.3</v>
      </c>
      <c r="AI20" s="318">
        <f t="shared" si="4"/>
        <v>235.3</v>
      </c>
      <c r="AJ20" s="261"/>
      <c r="AK20" s="261"/>
      <c r="AL20" s="261"/>
      <c r="AM20" s="261"/>
      <c r="AN20" s="261"/>
      <c r="AO20" s="261"/>
      <c r="AP20" s="261"/>
      <c r="AQ20" s="306"/>
      <c r="AS20" s="18"/>
    </row>
    <row r="21" spans="1:48" ht="15" customHeight="1" x14ac:dyDescent="0.25">
      <c r="A21" s="260"/>
      <c r="B21" s="261"/>
      <c r="C21" s="261"/>
      <c r="D21" s="261"/>
      <c r="E21" s="261"/>
      <c r="F21" s="261"/>
      <c r="G21" s="261"/>
      <c r="H21" s="261"/>
      <c r="I21" s="319"/>
      <c r="J21" s="261"/>
      <c r="K21" s="261"/>
      <c r="L21" s="261"/>
      <c r="M21" s="261"/>
      <c r="N21" s="307"/>
      <c r="O21" s="307"/>
      <c r="P21" s="307"/>
      <c r="Q21" s="15">
        <v>88.7</v>
      </c>
      <c r="R21" s="319"/>
      <c r="S21" s="319"/>
      <c r="T21" s="307"/>
      <c r="U21" s="307"/>
      <c r="V21" s="307"/>
      <c r="W21" s="307"/>
      <c r="X21" s="306">
        <f t="shared" si="0"/>
        <v>88.7</v>
      </c>
      <c r="Y21" s="207" t="s">
        <v>161</v>
      </c>
      <c r="Z21" s="260"/>
      <c r="AA21" s="261"/>
      <c r="AB21" s="307">
        <v>65</v>
      </c>
      <c r="AC21" s="306"/>
      <c r="AD21" s="260"/>
      <c r="AE21" s="306"/>
      <c r="AF21" s="260"/>
      <c r="AG21" s="306"/>
      <c r="AH21" s="20">
        <f t="shared" si="3"/>
        <v>57.655000000000001</v>
      </c>
      <c r="AI21" s="318">
        <f t="shared" si="4"/>
        <v>57.655000000000001</v>
      </c>
      <c r="AJ21" s="261"/>
      <c r="AK21" s="261"/>
      <c r="AL21" s="261"/>
      <c r="AM21" s="261"/>
      <c r="AN21" s="261"/>
      <c r="AO21" s="261"/>
      <c r="AP21" s="261"/>
      <c r="AQ21" s="306"/>
      <c r="AS21" s="18"/>
    </row>
    <row r="22" spans="1:48" ht="15" customHeight="1" x14ac:dyDescent="0.25">
      <c r="A22" s="260"/>
      <c r="B22" s="261"/>
      <c r="C22" s="261"/>
      <c r="D22" s="261"/>
      <c r="E22" s="261"/>
      <c r="F22" s="261"/>
      <c r="G22" s="261"/>
      <c r="H22" s="261"/>
      <c r="I22" s="319"/>
      <c r="J22" s="261"/>
      <c r="K22" s="261"/>
      <c r="L22" s="15">
        <v>9.3000000000000007</v>
      </c>
      <c r="M22" s="261"/>
      <c r="N22" s="307"/>
      <c r="O22" s="307"/>
      <c r="P22" s="307"/>
      <c r="Q22" s="307"/>
      <c r="R22" s="307"/>
      <c r="S22" s="307"/>
      <c r="T22" s="307"/>
      <c r="U22" s="307"/>
      <c r="V22" s="307"/>
      <c r="W22" s="307"/>
      <c r="X22" s="306">
        <f t="shared" si="0"/>
        <v>9.3000000000000007</v>
      </c>
      <c r="Y22" s="207" t="s">
        <v>162</v>
      </c>
      <c r="Z22" s="260"/>
      <c r="AA22" s="261"/>
      <c r="AB22" s="261">
        <v>100</v>
      </c>
      <c r="AC22" s="306"/>
      <c r="AD22" s="260"/>
      <c r="AE22" s="306"/>
      <c r="AF22" s="260"/>
      <c r="AG22" s="306"/>
      <c r="AH22" s="20">
        <f t="shared" si="3"/>
        <v>9.3000000000000007</v>
      </c>
      <c r="AI22" s="318">
        <f t="shared" si="4"/>
        <v>9.3000000000000007</v>
      </c>
      <c r="AJ22" s="261"/>
      <c r="AK22" s="261"/>
      <c r="AL22" s="261"/>
      <c r="AM22" s="261"/>
      <c r="AN22" s="261"/>
      <c r="AO22" s="261"/>
      <c r="AP22" s="261"/>
      <c r="AQ22" s="306"/>
      <c r="AV22" s="18"/>
    </row>
    <row r="23" spans="1:48" ht="15" customHeight="1" x14ac:dyDescent="0.25">
      <c r="A23" s="260"/>
      <c r="B23" s="261"/>
      <c r="C23" s="307"/>
      <c r="D23" s="307"/>
      <c r="E23" s="15">
        <v>20.399999999999999</v>
      </c>
      <c r="F23" s="307"/>
      <c r="G23" s="307"/>
      <c r="H23" s="307"/>
      <c r="I23" s="319"/>
      <c r="J23" s="307"/>
      <c r="K23" s="307"/>
      <c r="L23" s="307"/>
      <c r="M23" s="307"/>
      <c r="N23" s="307"/>
      <c r="O23" s="307"/>
      <c r="P23" s="307"/>
      <c r="Q23" s="307"/>
      <c r="R23" s="307"/>
      <c r="S23" s="307"/>
      <c r="T23" s="307"/>
      <c r="U23" s="307"/>
      <c r="V23" s="307"/>
      <c r="W23" s="307"/>
      <c r="X23" s="306">
        <f t="shared" si="0"/>
        <v>20.399999999999999</v>
      </c>
      <c r="Y23" s="207" t="s">
        <v>163</v>
      </c>
      <c r="Z23" s="260"/>
      <c r="AA23" s="261">
        <v>90</v>
      </c>
      <c r="AB23" s="261"/>
      <c r="AC23" s="306"/>
      <c r="AD23" s="260"/>
      <c r="AE23" s="306"/>
      <c r="AF23" s="260"/>
      <c r="AG23" s="306"/>
      <c r="AH23" s="20">
        <f t="shared" si="3"/>
        <v>18.36</v>
      </c>
      <c r="AI23" s="318"/>
      <c r="AJ23" s="261"/>
      <c r="AK23" s="261"/>
      <c r="AL23" s="261"/>
      <c r="AM23" s="261"/>
      <c r="AN23" s="261">
        <f>X23*AA23/100</f>
        <v>18.36</v>
      </c>
      <c r="AO23" s="261"/>
      <c r="AP23" s="261"/>
      <c r="AQ23" s="306"/>
      <c r="AV23" s="18"/>
    </row>
    <row r="24" spans="1:48" ht="15" customHeight="1" x14ac:dyDescent="0.25">
      <c r="A24" s="260"/>
      <c r="B24" s="261"/>
      <c r="C24" s="307"/>
      <c r="D24" s="307"/>
      <c r="E24" s="307"/>
      <c r="F24" s="307"/>
      <c r="G24" s="307"/>
      <c r="H24" s="307"/>
      <c r="I24" s="15">
        <v>706.5</v>
      </c>
      <c r="J24" s="307"/>
      <c r="K24" s="307"/>
      <c r="L24" s="307"/>
      <c r="M24" s="307"/>
      <c r="N24" s="307"/>
      <c r="O24" s="307"/>
      <c r="P24" s="307"/>
      <c r="Q24" s="307"/>
      <c r="R24" s="307"/>
      <c r="S24" s="307"/>
      <c r="T24" s="307"/>
      <c r="U24" s="307"/>
      <c r="V24" s="307"/>
      <c r="W24" s="307"/>
      <c r="X24" s="306">
        <f t="shared" si="0"/>
        <v>706.5</v>
      </c>
      <c r="Y24" s="207" t="s">
        <v>164</v>
      </c>
      <c r="Z24" s="260"/>
      <c r="AA24" s="261">
        <v>90</v>
      </c>
      <c r="AB24" s="261"/>
      <c r="AC24" s="306"/>
      <c r="AD24" s="260"/>
      <c r="AE24" s="306"/>
      <c r="AF24" s="260"/>
      <c r="AG24" s="306"/>
      <c r="AH24" s="20">
        <f t="shared" si="3"/>
        <v>635.85</v>
      </c>
      <c r="AI24" s="318"/>
      <c r="AJ24" s="261"/>
      <c r="AK24" s="261"/>
      <c r="AL24" s="261"/>
      <c r="AM24" s="261"/>
      <c r="AN24" s="261">
        <f>X24*AA24/100</f>
        <v>635.85</v>
      </c>
      <c r="AO24" s="261"/>
      <c r="AP24" s="261"/>
      <c r="AQ24" s="306"/>
      <c r="AS24" s="18"/>
    </row>
    <row r="25" spans="1:48" ht="15" customHeight="1" x14ac:dyDescent="0.25">
      <c r="A25" s="260"/>
      <c r="B25" s="261"/>
      <c r="C25" s="15"/>
      <c r="D25" s="15"/>
      <c r="E25" s="319"/>
      <c r="F25" s="319"/>
      <c r="G25" s="319"/>
      <c r="H25" s="319"/>
      <c r="I25" s="319"/>
      <c r="J25" s="319"/>
      <c r="K25" s="319"/>
      <c r="L25" s="319"/>
      <c r="M25" s="319"/>
      <c r="N25" s="319"/>
      <c r="O25" s="349"/>
      <c r="P25" s="319"/>
      <c r="Q25" s="319"/>
      <c r="R25" s="319"/>
      <c r="S25" s="15">
        <v>1</v>
      </c>
      <c r="T25" s="349"/>
      <c r="U25" s="319"/>
      <c r="V25" s="319"/>
      <c r="W25" s="15"/>
      <c r="X25" s="306">
        <f t="shared" si="0"/>
        <v>1</v>
      </c>
      <c r="Y25" s="207" t="s">
        <v>165</v>
      </c>
      <c r="Z25" s="260"/>
      <c r="AA25" s="261">
        <v>90</v>
      </c>
      <c r="AB25" s="261"/>
      <c r="AC25" s="306"/>
      <c r="AD25" s="260"/>
      <c r="AE25" s="306"/>
      <c r="AF25" s="260"/>
      <c r="AG25" s="306"/>
      <c r="AH25" s="20">
        <f t="shared" si="3"/>
        <v>0.9</v>
      </c>
      <c r="AI25" s="309"/>
      <c r="AJ25" s="307"/>
      <c r="AK25" s="307"/>
      <c r="AL25" s="307"/>
      <c r="AM25" s="307"/>
      <c r="AN25" s="307">
        <f>X25*AA25/100</f>
        <v>0.9</v>
      </c>
      <c r="AO25" s="307"/>
      <c r="AP25" s="307"/>
      <c r="AQ25" s="306"/>
      <c r="AR25" s="21"/>
      <c r="AS25" s="18"/>
    </row>
    <row r="26" spans="1:48" ht="15" customHeight="1" x14ac:dyDescent="0.25">
      <c r="A26" s="260"/>
      <c r="B26" s="261"/>
      <c r="C26" s="261"/>
      <c r="D26" s="261"/>
      <c r="E26" s="261"/>
      <c r="F26" s="261"/>
      <c r="G26" s="261"/>
      <c r="H26" s="307"/>
      <c r="I26" s="307"/>
      <c r="J26" s="307"/>
      <c r="K26" s="307"/>
      <c r="L26" s="15">
        <v>42</v>
      </c>
      <c r="M26" s="307"/>
      <c r="N26" s="307"/>
      <c r="O26" s="307"/>
      <c r="P26" s="307"/>
      <c r="Q26" s="307"/>
      <c r="R26" s="307"/>
      <c r="S26" s="307"/>
      <c r="T26" s="307"/>
      <c r="U26" s="307"/>
      <c r="V26" s="307"/>
      <c r="W26" s="307"/>
      <c r="X26" s="306">
        <f t="shared" si="0"/>
        <v>42</v>
      </c>
      <c r="Y26" s="207" t="s">
        <v>166</v>
      </c>
      <c r="Z26" s="261">
        <v>100</v>
      </c>
      <c r="AA26" s="261"/>
      <c r="AB26" s="261"/>
      <c r="AC26" s="306"/>
      <c r="AD26" s="260">
        <f>X26*Z26/100</f>
        <v>42</v>
      </c>
      <c r="AE26" s="306"/>
      <c r="AF26" s="260"/>
      <c r="AG26" s="306"/>
      <c r="AH26" s="20">
        <f t="shared" si="3"/>
        <v>0</v>
      </c>
      <c r="AI26" s="309"/>
      <c r="AJ26" s="307"/>
      <c r="AK26" s="307"/>
      <c r="AL26" s="307"/>
      <c r="AM26" s="307"/>
      <c r="AN26" s="307"/>
      <c r="AO26" s="307"/>
      <c r="AP26" s="307"/>
      <c r="AQ26" s="306"/>
      <c r="AV26" s="18"/>
    </row>
    <row r="27" spans="1:48" ht="15" customHeight="1" x14ac:dyDescent="0.25">
      <c r="A27" s="260"/>
      <c r="B27" s="261"/>
      <c r="C27" s="261"/>
      <c r="D27" s="261"/>
      <c r="E27" s="261"/>
      <c r="F27" s="261"/>
      <c r="G27" s="261"/>
      <c r="H27" s="307"/>
      <c r="I27" s="307"/>
      <c r="J27" s="15">
        <v>1209.5999999999999</v>
      </c>
      <c r="K27" s="307"/>
      <c r="L27" s="307"/>
      <c r="M27" s="307"/>
      <c r="N27" s="307"/>
      <c r="O27" s="307"/>
      <c r="P27" s="307"/>
      <c r="Q27" s="307"/>
      <c r="R27" s="307"/>
      <c r="S27" s="307"/>
      <c r="T27" s="307"/>
      <c r="U27" s="307"/>
      <c r="V27" s="307"/>
      <c r="W27" s="307"/>
      <c r="X27" s="306">
        <f t="shared" si="0"/>
        <v>1209.5999999999999</v>
      </c>
      <c r="Y27" s="207" t="s">
        <v>167</v>
      </c>
      <c r="Z27" s="261">
        <v>100</v>
      </c>
      <c r="AA27" s="261"/>
      <c r="AB27" s="261"/>
      <c r="AC27" s="306"/>
      <c r="AD27" s="260">
        <f>Z27*X27/100</f>
        <v>1209.5999999999999</v>
      </c>
      <c r="AE27" s="306"/>
      <c r="AF27" s="260"/>
      <c r="AG27" s="306"/>
      <c r="AH27" s="20">
        <f t="shared" si="3"/>
        <v>0</v>
      </c>
      <c r="AI27" s="309"/>
      <c r="AJ27" s="307"/>
      <c r="AK27" s="307"/>
      <c r="AL27" s="307"/>
      <c r="AM27" s="307"/>
      <c r="AN27" s="307"/>
      <c r="AO27" s="307"/>
      <c r="AP27" s="307"/>
      <c r="AQ27" s="306"/>
      <c r="AV27" s="18"/>
    </row>
    <row r="28" spans="1:48" ht="15" customHeight="1" x14ac:dyDescent="0.25">
      <c r="A28" s="260"/>
      <c r="B28" s="261"/>
      <c r="C28" s="261"/>
      <c r="D28" s="261"/>
      <c r="E28" s="261"/>
      <c r="F28" s="261"/>
      <c r="G28" s="261"/>
      <c r="H28" s="307"/>
      <c r="I28" s="307"/>
      <c r="J28" s="15"/>
      <c r="K28" s="307"/>
      <c r="L28" s="307"/>
      <c r="M28" s="307"/>
      <c r="N28" s="307"/>
      <c r="O28" s="307"/>
      <c r="P28" s="307"/>
      <c r="Q28" s="307"/>
      <c r="R28" s="307"/>
      <c r="S28" s="307"/>
      <c r="T28" s="307"/>
      <c r="U28" s="307"/>
      <c r="V28" s="307"/>
      <c r="W28" s="307"/>
      <c r="X28" s="306">
        <f t="shared" si="0"/>
        <v>0</v>
      </c>
      <c r="Y28" s="207" t="s">
        <v>168</v>
      </c>
      <c r="Z28" s="320">
        <v>100</v>
      </c>
      <c r="AA28" s="307"/>
      <c r="AB28" s="307"/>
      <c r="AC28" s="321"/>
      <c r="AD28" s="320">
        <f>Z28*X28/100</f>
        <v>0</v>
      </c>
      <c r="AE28" s="321"/>
      <c r="AF28" s="260"/>
      <c r="AG28" s="306"/>
      <c r="AH28" s="20">
        <f t="shared" si="3"/>
        <v>0</v>
      </c>
      <c r="AI28" s="309"/>
      <c r="AJ28" s="307"/>
      <c r="AK28" s="307"/>
      <c r="AL28" s="307"/>
      <c r="AM28" s="307"/>
      <c r="AN28" s="307"/>
      <c r="AO28" s="307"/>
      <c r="AP28" s="307"/>
      <c r="AQ28" s="306"/>
    </row>
    <row r="29" spans="1:48" ht="15" customHeight="1" x14ac:dyDescent="0.25">
      <c r="A29" s="260"/>
      <c r="B29" s="261"/>
      <c r="C29" s="261"/>
      <c r="D29" s="261"/>
      <c r="E29" s="261"/>
      <c r="F29" s="261"/>
      <c r="G29" s="261"/>
      <c r="H29" s="307"/>
      <c r="I29" s="307"/>
      <c r="J29" s="307"/>
      <c r="K29" s="15"/>
      <c r="L29" s="307"/>
      <c r="M29" s="307"/>
      <c r="N29" s="307"/>
      <c r="O29" s="307"/>
      <c r="P29" s="307"/>
      <c r="Q29" s="307"/>
      <c r="R29" s="307"/>
      <c r="S29" s="307"/>
      <c r="T29" s="307"/>
      <c r="U29" s="307"/>
      <c r="V29" s="307"/>
      <c r="W29" s="307"/>
      <c r="X29" s="306">
        <f t="shared" si="0"/>
        <v>0</v>
      </c>
      <c r="Y29" s="207" t="s">
        <v>169</v>
      </c>
      <c r="Z29" s="15">
        <v>100</v>
      </c>
      <c r="AA29" s="307"/>
      <c r="AB29" s="307"/>
      <c r="AC29" s="321"/>
      <c r="AD29" s="320">
        <f>Z29*X29/100</f>
        <v>0</v>
      </c>
      <c r="AE29" s="321"/>
      <c r="AF29" s="260"/>
      <c r="AG29" s="306"/>
      <c r="AH29" s="20">
        <f t="shared" si="3"/>
        <v>0</v>
      </c>
      <c r="AI29" s="309"/>
      <c r="AJ29" s="307"/>
      <c r="AK29" s="307"/>
      <c r="AL29" s="307"/>
      <c r="AM29" s="307"/>
      <c r="AN29" s="307"/>
      <c r="AO29" s="307"/>
      <c r="AP29" s="307"/>
      <c r="AQ29" s="306"/>
    </row>
    <row r="30" spans="1:48" ht="15" customHeight="1" x14ac:dyDescent="0.25">
      <c r="A30" s="260"/>
      <c r="B30" s="261"/>
      <c r="C30" s="261"/>
      <c r="D30" s="261"/>
      <c r="E30" s="261"/>
      <c r="F30" s="261"/>
      <c r="G30" s="261"/>
      <c r="H30" s="307"/>
      <c r="I30" s="307"/>
      <c r="J30" s="307"/>
      <c r="K30" s="307"/>
      <c r="L30" s="307"/>
      <c r="M30" s="307"/>
      <c r="N30" s="307"/>
      <c r="O30" s="307"/>
      <c r="P30" s="307"/>
      <c r="Q30" s="307"/>
      <c r="R30" s="307"/>
      <c r="S30" s="307"/>
      <c r="T30" s="307"/>
      <c r="U30" s="307"/>
      <c r="V30" s="307"/>
      <c r="W30" s="307"/>
      <c r="X30" s="306">
        <f t="shared" si="0"/>
        <v>0</v>
      </c>
      <c r="Y30" s="207" t="s">
        <v>170</v>
      </c>
      <c r="Z30" s="307">
        <v>100</v>
      </c>
      <c r="AA30" s="307"/>
      <c r="AB30" s="307"/>
      <c r="AC30" s="321"/>
      <c r="AD30" s="320">
        <f>Z30*X30/100</f>
        <v>0</v>
      </c>
      <c r="AE30" s="321"/>
      <c r="AF30" s="260"/>
      <c r="AG30" s="306"/>
      <c r="AH30" s="20">
        <f t="shared" si="3"/>
        <v>0</v>
      </c>
      <c r="AI30" s="309"/>
      <c r="AJ30" s="307"/>
      <c r="AK30" s="307"/>
      <c r="AL30" s="307"/>
      <c r="AM30" s="307"/>
      <c r="AN30" s="307"/>
      <c r="AO30" s="307"/>
      <c r="AP30" s="307"/>
      <c r="AQ30" s="306"/>
    </row>
    <row r="31" spans="1:48" s="488" customFormat="1" ht="15" customHeight="1" x14ac:dyDescent="0.3">
      <c r="A31" s="483"/>
      <c r="B31" s="261"/>
      <c r="C31" s="261"/>
      <c r="D31" s="261"/>
      <c r="E31" s="261"/>
      <c r="F31" s="261"/>
      <c r="G31" s="261"/>
      <c r="H31" s="307"/>
      <c r="I31" s="15">
        <f>-(O31+T31)*AA31%</f>
        <v>0</v>
      </c>
      <c r="J31" s="307"/>
      <c r="K31" s="307"/>
      <c r="L31" s="307"/>
      <c r="M31" s="307"/>
      <c r="N31" s="307"/>
      <c r="O31" s="307"/>
      <c r="P31" s="307"/>
      <c r="Q31" s="307"/>
      <c r="R31" s="307"/>
      <c r="S31" s="307"/>
      <c r="T31" s="307"/>
      <c r="U31" s="319"/>
      <c r="V31" s="319"/>
      <c r="W31" s="319"/>
      <c r="X31" s="306">
        <f t="shared" si="0"/>
        <v>0</v>
      </c>
      <c r="Y31" s="484" t="s">
        <v>171</v>
      </c>
      <c r="Z31" s="350"/>
      <c r="AA31" s="319">
        <v>100</v>
      </c>
      <c r="AB31" s="319"/>
      <c r="AC31" s="482"/>
      <c r="AD31" s="485"/>
      <c r="AE31" s="482"/>
      <c r="AF31" s="486"/>
      <c r="AG31" s="308"/>
      <c r="AH31" s="487"/>
      <c r="AI31" s="350"/>
      <c r="AJ31" s="319"/>
      <c r="AK31" s="319"/>
      <c r="AL31" s="319"/>
      <c r="AM31" s="319"/>
      <c r="AN31" s="319"/>
      <c r="AO31" s="319"/>
      <c r="AP31" s="319"/>
      <c r="AQ31" s="308"/>
    </row>
    <row r="32" spans="1:48" ht="15" customHeight="1" x14ac:dyDescent="0.25">
      <c r="A32" s="261"/>
      <c r="B32" s="261"/>
      <c r="C32" s="489"/>
      <c r="D32" s="489"/>
      <c r="E32" s="489"/>
      <c r="F32" s="489"/>
      <c r="G32" s="489"/>
      <c r="H32" s="490"/>
      <c r="I32" s="478"/>
      <c r="J32" s="490"/>
      <c r="K32" s="490"/>
      <c r="L32" s="490"/>
      <c r="M32" s="490"/>
      <c r="N32" s="319"/>
      <c r="O32" s="478"/>
      <c r="P32" s="490"/>
      <c r="Q32" s="490"/>
      <c r="R32" s="490"/>
      <c r="S32" s="490"/>
      <c r="T32" s="478"/>
      <c r="U32" s="490"/>
      <c r="V32" s="490"/>
      <c r="W32" s="490"/>
      <c r="X32" s="306">
        <f t="shared" si="0"/>
        <v>0</v>
      </c>
      <c r="Y32" s="484" t="s">
        <v>172</v>
      </c>
      <c r="Z32" s="19"/>
      <c r="AA32" s="319"/>
      <c r="AB32" s="319"/>
      <c r="AC32" s="482"/>
      <c r="AD32" s="320">
        <f>X32*Z32/100</f>
        <v>0</v>
      </c>
      <c r="AE32" s="321"/>
      <c r="AF32" s="320">
        <f>X32*AB32/100</f>
        <v>0</v>
      </c>
      <c r="AG32" s="321"/>
      <c r="AH32" s="20">
        <f>SUM(AI32:AQ32)</f>
        <v>0</v>
      </c>
      <c r="AI32" s="309"/>
      <c r="AJ32" s="319"/>
      <c r="AK32" s="319"/>
      <c r="AL32" s="319"/>
      <c r="AM32" s="319"/>
      <c r="AN32" s="319"/>
      <c r="AO32" s="319"/>
      <c r="AP32" s="319"/>
      <c r="AQ32" s="306"/>
    </row>
    <row r="33" spans="1:44" ht="15" customHeight="1" x14ac:dyDescent="0.25">
      <c r="A33" s="261"/>
      <c r="B33" s="261"/>
      <c r="C33" s="15">
        <v>9.3000000000000007</v>
      </c>
      <c r="D33" s="478"/>
      <c r="E33" s="490"/>
      <c r="F33" s="490"/>
      <c r="G33" s="490"/>
      <c r="H33" s="490"/>
      <c r="I33" s="478"/>
      <c r="J33" s="490"/>
      <c r="K33" s="490"/>
      <c r="L33" s="490"/>
      <c r="M33" s="490"/>
      <c r="N33" s="490"/>
      <c r="O33" s="478">
        <f>7.6*46%</f>
        <v>3.496</v>
      </c>
      <c r="P33" s="307"/>
      <c r="Q33" s="478"/>
      <c r="R33" s="478">
        <v>1915.4</v>
      </c>
      <c r="S33" s="478">
        <v>576.70000000000005</v>
      </c>
      <c r="T33" s="478">
        <f>7.6*54%</f>
        <v>4.1040000000000001</v>
      </c>
      <c r="U33" s="490"/>
      <c r="V33" s="490"/>
      <c r="W33" s="490"/>
      <c r="X33" s="306">
        <f t="shared" si="0"/>
        <v>2509</v>
      </c>
      <c r="Y33" s="207" t="s">
        <v>173</v>
      </c>
      <c r="Z33" s="19">
        <v>19.600000000000001</v>
      </c>
      <c r="AA33" s="319"/>
      <c r="AB33" s="15">
        <v>79.7</v>
      </c>
      <c r="AC33" s="321"/>
      <c r="AD33" s="320">
        <f>X33*Z33/100</f>
        <v>491.76400000000001</v>
      </c>
      <c r="AE33" s="321"/>
      <c r="AF33" s="260">
        <f>X33*AB33/100</f>
        <v>1999.6730000000002</v>
      </c>
      <c r="AG33" s="306"/>
      <c r="AH33" s="20">
        <f t="shared" si="3"/>
        <v>0</v>
      </c>
      <c r="AI33" s="309"/>
      <c r="AJ33" s="307"/>
      <c r="AK33" s="307"/>
      <c r="AL33" s="307"/>
      <c r="AM33" s="307"/>
      <c r="AN33" s="307"/>
      <c r="AO33" s="307"/>
      <c r="AP33" s="307"/>
      <c r="AQ33" s="306"/>
    </row>
    <row r="34" spans="1:44" ht="15" customHeight="1" x14ac:dyDescent="0.25">
      <c r="A34" s="261"/>
      <c r="B34" s="261"/>
      <c r="C34" s="490"/>
      <c r="D34" s="490"/>
      <c r="E34" s="490"/>
      <c r="F34" s="490"/>
      <c r="G34" s="490"/>
      <c r="H34" s="490"/>
      <c r="I34" s="490"/>
      <c r="J34" s="490"/>
      <c r="K34" s="490"/>
      <c r="L34" s="490"/>
      <c r="M34" s="490"/>
      <c r="N34" s="490"/>
      <c r="O34" s="490"/>
      <c r="P34" s="490"/>
      <c r="Q34" s="490"/>
      <c r="R34" s="490"/>
      <c r="S34" s="490"/>
      <c r="T34" s="490"/>
      <c r="U34" s="490"/>
      <c r="V34" s="490"/>
      <c r="W34" s="490"/>
      <c r="X34" s="306">
        <f t="shared" si="0"/>
        <v>0</v>
      </c>
      <c r="Y34" s="207" t="s">
        <v>174</v>
      </c>
      <c r="Z34" s="485"/>
      <c r="AA34" s="319"/>
      <c r="AB34" s="319"/>
      <c r="AC34" s="321"/>
      <c r="AD34" s="320">
        <f>X34*Z34/100</f>
        <v>0</v>
      </c>
      <c r="AE34" s="321"/>
      <c r="AF34" s="260">
        <f>X34*AB34</f>
        <v>0</v>
      </c>
      <c r="AG34" s="306"/>
      <c r="AH34" s="20">
        <f t="shared" si="3"/>
        <v>0</v>
      </c>
      <c r="AI34" s="309"/>
      <c r="AJ34" s="307"/>
      <c r="AK34" s="307"/>
      <c r="AL34" s="307"/>
      <c r="AM34" s="307"/>
      <c r="AN34" s="307"/>
      <c r="AO34" s="307"/>
      <c r="AP34" s="307"/>
      <c r="AQ34" s="306"/>
    </row>
    <row r="35" spans="1:44" ht="15" customHeight="1" x14ac:dyDescent="0.25">
      <c r="A35" s="261"/>
      <c r="B35" s="261"/>
      <c r="C35" s="490"/>
      <c r="D35" s="490"/>
      <c r="E35" s="491"/>
      <c r="F35" s="490"/>
      <c r="G35" s="490"/>
      <c r="H35" s="490"/>
      <c r="I35" s="490"/>
      <c r="J35" s="490"/>
      <c r="K35" s="490"/>
      <c r="L35" s="490"/>
      <c r="M35" s="490"/>
      <c r="N35" s="490"/>
      <c r="O35" s="490"/>
      <c r="P35" s="490"/>
      <c r="Q35" s="490"/>
      <c r="R35" s="490"/>
      <c r="S35" s="490"/>
      <c r="T35" s="490"/>
      <c r="U35" s="490"/>
      <c r="V35" s="490"/>
      <c r="W35" s="490"/>
      <c r="X35" s="306">
        <f t="shared" si="0"/>
        <v>0</v>
      </c>
      <c r="Y35" s="207" t="s">
        <v>175</v>
      </c>
      <c r="Z35" s="485"/>
      <c r="AA35" s="319"/>
      <c r="AB35" s="319"/>
      <c r="AC35" s="321"/>
      <c r="AD35" s="320">
        <f>X35*Z35/100</f>
        <v>0</v>
      </c>
      <c r="AE35" s="321"/>
      <c r="AF35" s="260">
        <f>X35*AB35</f>
        <v>0</v>
      </c>
      <c r="AG35" s="306"/>
      <c r="AH35" s="20">
        <f t="shared" si="3"/>
        <v>0</v>
      </c>
      <c r="AI35" s="309"/>
      <c r="AJ35" s="307"/>
      <c r="AK35" s="307"/>
      <c r="AL35" s="307"/>
      <c r="AM35" s="307"/>
      <c r="AN35" s="307"/>
      <c r="AO35" s="307"/>
      <c r="AP35" s="307"/>
      <c r="AQ35" s="306"/>
    </row>
    <row r="36" spans="1:44" ht="15" customHeight="1" x14ac:dyDescent="0.25">
      <c r="A36" s="261"/>
      <c r="B36" s="261"/>
      <c r="C36" s="490"/>
      <c r="D36" s="490"/>
      <c r="E36" s="478">
        <v>11.1</v>
      </c>
      <c r="F36" s="490"/>
      <c r="G36" s="490"/>
      <c r="H36" s="490"/>
      <c r="I36" s="490"/>
      <c r="J36" s="490"/>
      <c r="K36" s="490"/>
      <c r="L36" s="490"/>
      <c r="M36" s="490"/>
      <c r="N36" s="490"/>
      <c r="O36" s="490"/>
      <c r="P36" s="478">
        <v>22.2</v>
      </c>
      <c r="Q36" s="490"/>
      <c r="R36" s="490"/>
      <c r="S36" s="490"/>
      <c r="T36" s="490"/>
      <c r="U36" s="490"/>
      <c r="V36" s="490"/>
      <c r="W36" s="490"/>
      <c r="X36" s="306">
        <f t="shared" si="0"/>
        <v>33.299999999999997</v>
      </c>
      <c r="Y36" s="207" t="s">
        <v>176</v>
      </c>
      <c r="Z36" s="485"/>
      <c r="AA36" s="319"/>
      <c r="AB36" s="15">
        <v>89.2</v>
      </c>
      <c r="AC36" s="321"/>
      <c r="AD36" s="320"/>
      <c r="AE36" s="321"/>
      <c r="AF36" s="260">
        <f>X36*AB36/100</f>
        <v>29.703599999999998</v>
      </c>
      <c r="AG36" s="306"/>
      <c r="AH36" s="20">
        <f t="shared" si="3"/>
        <v>0</v>
      </c>
      <c r="AI36" s="309"/>
      <c r="AJ36" s="307"/>
      <c r="AK36" s="307"/>
      <c r="AL36" s="307"/>
      <c r="AM36" s="307"/>
      <c r="AN36" s="307"/>
      <c r="AO36" s="307"/>
      <c r="AP36" s="307"/>
      <c r="AQ36" s="306"/>
    </row>
    <row r="37" spans="1:44" s="488" customFormat="1" ht="15" customHeight="1" x14ac:dyDescent="0.3">
      <c r="A37" s="492"/>
      <c r="B37" s="492"/>
      <c r="C37" s="492"/>
      <c r="D37" s="319"/>
      <c r="E37" s="319"/>
      <c r="F37" s="319"/>
      <c r="G37" s="319"/>
      <c r="H37" s="319"/>
      <c r="I37" s="319"/>
      <c r="J37" s="319"/>
      <c r="K37" s="319"/>
      <c r="L37" s="319"/>
      <c r="M37" s="319"/>
      <c r="N37" s="15">
        <f>AF37-AE37</f>
        <v>0</v>
      </c>
      <c r="O37" s="319"/>
      <c r="P37" s="319"/>
      <c r="Q37" s="319"/>
      <c r="R37" s="319"/>
      <c r="S37" s="319"/>
      <c r="T37" s="319"/>
      <c r="U37" s="319"/>
      <c r="V37" s="319"/>
      <c r="W37" s="319"/>
      <c r="X37" s="306">
        <f t="shared" si="0"/>
        <v>0</v>
      </c>
      <c r="Y37" s="484" t="s">
        <v>177</v>
      </c>
      <c r="Z37" s="320"/>
      <c r="AA37" s="307"/>
      <c r="AB37" s="307"/>
      <c r="AC37" s="321"/>
      <c r="AD37" s="485">
        <f>-AE37/$D$2%</f>
        <v>0</v>
      </c>
      <c r="AE37" s="322"/>
      <c r="AF37" s="351">
        <f>AE37*AB37%</f>
        <v>0</v>
      </c>
      <c r="AG37" s="308"/>
      <c r="AH37" s="487"/>
      <c r="AI37" s="350"/>
      <c r="AJ37" s="350"/>
      <c r="AK37" s="319"/>
      <c r="AL37" s="319"/>
      <c r="AM37" s="319"/>
      <c r="AN37" s="319"/>
      <c r="AO37" s="319"/>
      <c r="AP37" s="319"/>
      <c r="AQ37" s="308"/>
    </row>
    <row r="38" spans="1:44" ht="15" customHeight="1" x14ac:dyDescent="0.25">
      <c r="A38" s="492"/>
      <c r="B38" s="492"/>
      <c r="C38" s="492"/>
      <c r="D38" s="319"/>
      <c r="E38" s="319"/>
      <c r="F38" s="319"/>
      <c r="G38" s="319"/>
      <c r="H38" s="319"/>
      <c r="I38" s="319"/>
      <c r="J38" s="319"/>
      <c r="K38" s="319"/>
      <c r="L38" s="319"/>
      <c r="M38" s="319"/>
      <c r="N38" s="319"/>
      <c r="O38" s="319"/>
      <c r="P38" s="319"/>
      <c r="Q38" s="319"/>
      <c r="R38" s="319"/>
      <c r="S38" s="319"/>
      <c r="T38" s="319"/>
      <c r="U38" s="319"/>
      <c r="V38" s="319"/>
      <c r="W38" s="319"/>
      <c r="X38" s="306">
        <f t="shared" si="0"/>
        <v>0</v>
      </c>
      <c r="Y38" s="484" t="s">
        <v>178</v>
      </c>
      <c r="Z38" s="320"/>
      <c r="AA38" s="307"/>
      <c r="AB38" s="307"/>
      <c r="AC38" s="321"/>
      <c r="AD38" s="485">
        <f>-AE38/$D$2%</f>
        <v>0</v>
      </c>
      <c r="AE38" s="321"/>
      <c r="AF38" s="320">
        <f>AE38*AB38%</f>
        <v>0</v>
      </c>
      <c r="AG38" s="308"/>
      <c r="AH38" s="487"/>
      <c r="AI38" s="350"/>
      <c r="AJ38" s="350"/>
      <c r="AK38" s="319"/>
      <c r="AL38" s="319"/>
      <c r="AM38" s="319"/>
      <c r="AN38" s="319"/>
      <c r="AO38" s="319"/>
      <c r="AP38" s="319"/>
      <c r="AQ38" s="308"/>
    </row>
    <row r="39" spans="1:44" ht="15" customHeight="1" x14ac:dyDescent="0.25">
      <c r="A39" s="261"/>
      <c r="B39" s="261"/>
      <c r="C39" s="490"/>
      <c r="D39" s="490"/>
      <c r="E39" s="490"/>
      <c r="F39" s="490"/>
      <c r="G39" s="490"/>
      <c r="H39" s="490"/>
      <c r="I39" s="490"/>
      <c r="J39" s="490"/>
      <c r="K39" s="490"/>
      <c r="L39" s="490"/>
      <c r="M39" s="490"/>
      <c r="N39" s="490"/>
      <c r="O39" s="490"/>
      <c r="P39" s="490"/>
      <c r="Q39" s="490"/>
      <c r="R39" s="490"/>
      <c r="S39" s="490"/>
      <c r="T39" s="490"/>
      <c r="U39" s="490"/>
      <c r="V39" s="490"/>
      <c r="W39" s="490"/>
      <c r="X39" s="306">
        <f t="shared" si="0"/>
        <v>0</v>
      </c>
      <c r="Y39" s="207" t="s">
        <v>179</v>
      </c>
      <c r="Z39" s="485"/>
      <c r="AA39" s="319"/>
      <c r="AB39" s="319"/>
      <c r="AC39" s="17">
        <f>100-22.83</f>
        <v>77.17</v>
      </c>
      <c r="AD39" s="320"/>
      <c r="AE39" s="321"/>
      <c r="AF39" s="260">
        <f>-SUM(AF33:AF38)</f>
        <v>-2029.3766000000003</v>
      </c>
      <c r="AG39" s="306">
        <f>-AF39*AC39/100</f>
        <v>1566.0699222200003</v>
      </c>
      <c r="AH39" s="20">
        <f>SUM(AI39:AQ39)</f>
        <v>1567.6359921422206</v>
      </c>
      <c r="AI39" s="16">
        <f>AG39*65.2%</f>
        <v>1021.0775892874402</v>
      </c>
      <c r="AJ39" s="16">
        <f>AG39*9.9%</f>
        <v>155.04092229978005</v>
      </c>
      <c r="AK39" s="15">
        <f>AG39*13.3%</f>
        <v>208.28729965526006</v>
      </c>
      <c r="AL39" s="15">
        <f>AG39*7%</f>
        <v>109.62489455540003</v>
      </c>
      <c r="AM39" s="15">
        <f>AG39*0%</f>
        <v>0</v>
      </c>
      <c r="AN39" s="15">
        <f>AG39*3.2%</f>
        <v>50.11423751104001</v>
      </c>
      <c r="AO39" s="15">
        <f>AG39*1.5%</f>
        <v>23.491048833300002</v>
      </c>
      <c r="AP39" s="15"/>
      <c r="AQ39" s="306"/>
      <c r="AR39" s="22"/>
    </row>
    <row r="40" spans="1:44" ht="15" customHeight="1" x14ac:dyDescent="0.25">
      <c r="A40" s="261"/>
      <c r="B40" s="307"/>
      <c r="C40" s="490"/>
      <c r="D40" s="490"/>
      <c r="E40" s="478"/>
      <c r="F40" s="490"/>
      <c r="G40" s="490"/>
      <c r="H40" s="490"/>
      <c r="I40" s="490"/>
      <c r="J40" s="490"/>
      <c r="K40" s="490"/>
      <c r="L40" s="490"/>
      <c r="M40" s="490"/>
      <c r="N40" s="490"/>
      <c r="O40" s="490"/>
      <c r="P40" s="490"/>
      <c r="Q40" s="478"/>
      <c r="R40" s="499"/>
      <c r="S40" s="478"/>
      <c r="T40" s="490"/>
      <c r="U40" s="478"/>
      <c r="V40" s="490"/>
      <c r="W40" s="478"/>
      <c r="X40" s="306">
        <f t="shared" si="0"/>
        <v>0</v>
      </c>
      <c r="Y40" s="207" t="s">
        <v>180</v>
      </c>
      <c r="Z40" s="19"/>
      <c r="AA40" s="319"/>
      <c r="AB40" s="15"/>
      <c r="AC40" s="482"/>
      <c r="AD40" s="320">
        <f>X40*Z40/100</f>
        <v>0</v>
      </c>
      <c r="AE40" s="321"/>
      <c r="AF40" s="260">
        <f>X40*AB40/100</f>
        <v>0</v>
      </c>
      <c r="AG40" s="306"/>
      <c r="AH40" s="20">
        <f t="shared" si="3"/>
        <v>0</v>
      </c>
      <c r="AI40" s="350"/>
      <c r="AJ40" s="319"/>
      <c r="AK40" s="319"/>
      <c r="AL40" s="319"/>
      <c r="AM40" s="319"/>
      <c r="AN40" s="319"/>
      <c r="AO40" s="319"/>
      <c r="AP40" s="307"/>
      <c r="AQ40" s="306"/>
    </row>
    <row r="41" spans="1:44" ht="15" customHeight="1" x14ac:dyDescent="0.25">
      <c r="A41" s="261"/>
      <c r="B41" s="307"/>
      <c r="C41" s="490"/>
      <c r="D41" s="490"/>
      <c r="E41" s="478"/>
      <c r="F41" s="490"/>
      <c r="G41" s="490"/>
      <c r="H41" s="490"/>
      <c r="I41" s="490"/>
      <c r="J41" s="490"/>
      <c r="K41" s="490"/>
      <c r="L41" s="490"/>
      <c r="M41" s="490"/>
      <c r="N41" s="490"/>
      <c r="O41" s="490"/>
      <c r="P41" s="490"/>
      <c r="Q41" s="490"/>
      <c r="R41" s="490"/>
      <c r="S41" s="478"/>
      <c r="T41" s="490"/>
      <c r="U41" s="478"/>
      <c r="V41" s="490"/>
      <c r="W41" s="478"/>
      <c r="X41" s="306">
        <f t="shared" si="0"/>
        <v>0</v>
      </c>
      <c r="Y41" s="207" t="s">
        <v>181</v>
      </c>
      <c r="Z41" s="485"/>
      <c r="AA41" s="319"/>
      <c r="AB41" s="15"/>
      <c r="AC41" s="482"/>
      <c r="AD41" s="320">
        <f>X41*Z41/100</f>
        <v>0</v>
      </c>
      <c r="AE41" s="321"/>
      <c r="AF41" s="260">
        <f>X41*AB41/100</f>
        <v>0</v>
      </c>
      <c r="AG41" s="306"/>
      <c r="AH41" s="20">
        <f t="shared" si="3"/>
        <v>0</v>
      </c>
      <c r="AI41" s="350"/>
      <c r="AJ41" s="319"/>
      <c r="AK41" s="319"/>
      <c r="AL41" s="319"/>
      <c r="AM41" s="319"/>
      <c r="AN41" s="319"/>
      <c r="AO41" s="319"/>
      <c r="AP41" s="307"/>
      <c r="AQ41" s="306"/>
    </row>
    <row r="42" spans="1:44" ht="15" customHeight="1" x14ac:dyDescent="0.25">
      <c r="A42" s="261"/>
      <c r="B42" s="307"/>
      <c r="C42" s="490"/>
      <c r="D42" s="490"/>
      <c r="E42" s="490"/>
      <c r="F42" s="490"/>
      <c r="G42" s="490"/>
      <c r="H42" s="490"/>
      <c r="I42" s="490"/>
      <c r="J42" s="490"/>
      <c r="K42" s="490"/>
      <c r="L42" s="490"/>
      <c r="M42" s="490"/>
      <c r="N42" s="490"/>
      <c r="O42" s="490"/>
      <c r="P42" s="490"/>
      <c r="Q42" s="490"/>
      <c r="R42" s="490"/>
      <c r="S42" s="490"/>
      <c r="T42" s="490"/>
      <c r="U42" s="478"/>
      <c r="V42" s="490"/>
      <c r="W42" s="478"/>
      <c r="X42" s="306">
        <f t="shared" si="0"/>
        <v>0</v>
      </c>
      <c r="Y42" s="207" t="s">
        <v>182</v>
      </c>
      <c r="Z42" s="485"/>
      <c r="AA42" s="319"/>
      <c r="AB42" s="319"/>
      <c r="AC42" s="482"/>
      <c r="AD42" s="320">
        <f>X42*Z42/100</f>
        <v>0</v>
      </c>
      <c r="AE42" s="321"/>
      <c r="AF42" s="260">
        <f>X42*AB42/100</f>
        <v>0</v>
      </c>
      <c r="AG42" s="306"/>
      <c r="AH42" s="20">
        <f t="shared" si="3"/>
        <v>0</v>
      </c>
      <c r="AI42" s="350"/>
      <c r="AJ42" s="319"/>
      <c r="AK42" s="319"/>
      <c r="AL42" s="319"/>
      <c r="AM42" s="319"/>
      <c r="AN42" s="319"/>
      <c r="AO42" s="319"/>
      <c r="AP42" s="307"/>
      <c r="AQ42" s="306"/>
    </row>
    <row r="43" spans="1:44" ht="15" customHeight="1" x14ac:dyDescent="0.25">
      <c r="A43" s="261"/>
      <c r="B43" s="307"/>
      <c r="C43" s="490"/>
      <c r="D43" s="490"/>
      <c r="E43" s="490"/>
      <c r="F43" s="490"/>
      <c r="G43" s="490"/>
      <c r="H43" s="490"/>
      <c r="I43" s="490"/>
      <c r="J43" s="490"/>
      <c r="K43" s="490"/>
      <c r="L43" s="490"/>
      <c r="M43" s="490"/>
      <c r="N43" s="490"/>
      <c r="O43" s="490"/>
      <c r="P43" s="490"/>
      <c r="Q43" s="490"/>
      <c r="R43" s="490"/>
      <c r="S43" s="490"/>
      <c r="T43" s="490"/>
      <c r="U43" s="490"/>
      <c r="V43" s="490"/>
      <c r="W43" s="490"/>
      <c r="X43" s="306">
        <f t="shared" si="0"/>
        <v>0</v>
      </c>
      <c r="Y43" s="207" t="s">
        <v>183</v>
      </c>
      <c r="Z43" s="485"/>
      <c r="AA43" s="319"/>
      <c r="AB43" s="319"/>
      <c r="AC43" s="17">
        <f>100-22.83</f>
        <v>77.17</v>
      </c>
      <c r="AD43" s="320"/>
      <c r="AE43" s="321"/>
      <c r="AF43" s="260">
        <f>-SUM(AF40:AF42)</f>
        <v>0</v>
      </c>
      <c r="AG43" s="306">
        <f>-AF43*AC43/100</f>
        <v>0</v>
      </c>
      <c r="AH43" s="20">
        <f t="shared" si="3"/>
        <v>0</v>
      </c>
      <c r="AI43" s="16">
        <f>AG43*65.2%</f>
        <v>0</v>
      </c>
      <c r="AJ43" s="16">
        <f>AG43*9.9%</f>
        <v>0</v>
      </c>
      <c r="AK43" s="15">
        <f>AG43*13.3%</f>
        <v>0</v>
      </c>
      <c r="AL43" s="15">
        <f>AG43*7%</f>
        <v>0</v>
      </c>
      <c r="AM43" s="15">
        <f>AG43*0%</f>
        <v>0</v>
      </c>
      <c r="AN43" s="15">
        <f>AG43*3.2%</f>
        <v>0</v>
      </c>
      <c r="AO43" s="15">
        <f>AG43*1.5%</f>
        <v>0</v>
      </c>
      <c r="AP43" s="15"/>
      <c r="AQ43" s="306"/>
    </row>
    <row r="44" spans="1:44" ht="15" customHeight="1" x14ac:dyDescent="0.25">
      <c r="A44" s="261"/>
      <c r="B44" s="15"/>
      <c r="C44" s="479"/>
      <c r="D44" s="490"/>
      <c r="E44" s="479"/>
      <c r="F44" s="490"/>
      <c r="G44" s="490"/>
      <c r="H44" s="490"/>
      <c r="I44" s="478"/>
      <c r="J44" s="490"/>
      <c r="K44" s="490"/>
      <c r="L44" s="490"/>
      <c r="M44" s="490"/>
      <c r="N44" s="490"/>
      <c r="O44" s="478"/>
      <c r="P44" s="490"/>
      <c r="Q44" s="479"/>
      <c r="R44" s="478"/>
      <c r="S44" s="478"/>
      <c r="T44" s="478"/>
      <c r="U44" s="478"/>
      <c r="V44" s="490"/>
      <c r="W44" s="478"/>
      <c r="X44" s="306">
        <f t="shared" si="0"/>
        <v>0</v>
      </c>
      <c r="Y44" s="207" t="s">
        <v>184</v>
      </c>
      <c r="Z44" s="19"/>
      <c r="AA44" s="319"/>
      <c r="AB44" s="15"/>
      <c r="AC44" s="482"/>
      <c r="AD44" s="260">
        <f>X44*Z44/100</f>
        <v>0</v>
      </c>
      <c r="AE44" s="306"/>
      <c r="AF44" s="260">
        <f t="shared" ref="AF44:AF51" si="5">X44*AB44/100</f>
        <v>0</v>
      </c>
      <c r="AG44" s="306"/>
      <c r="AH44" s="20">
        <f t="shared" si="3"/>
        <v>0</v>
      </c>
      <c r="AI44" s="309"/>
      <c r="AJ44" s="307"/>
      <c r="AK44" s="307"/>
      <c r="AL44" s="307"/>
      <c r="AM44" s="307"/>
      <c r="AN44" s="307"/>
      <c r="AO44" s="307"/>
      <c r="AP44" s="307"/>
      <c r="AQ44" s="306"/>
    </row>
    <row r="45" spans="1:44" ht="15" customHeight="1" x14ac:dyDescent="0.25">
      <c r="A45" s="261"/>
      <c r="B45" s="307"/>
      <c r="C45" s="490"/>
      <c r="D45" s="490"/>
      <c r="E45" s="490"/>
      <c r="F45" s="490"/>
      <c r="G45" s="490"/>
      <c r="H45" s="490"/>
      <c r="I45" s="478">
        <v>101.6</v>
      </c>
      <c r="J45" s="490"/>
      <c r="K45" s="490"/>
      <c r="L45" s="490"/>
      <c r="M45" s="490"/>
      <c r="N45" s="490"/>
      <c r="O45" s="478"/>
      <c r="P45" s="490"/>
      <c r="Q45" s="490"/>
      <c r="R45" s="490"/>
      <c r="S45" s="478"/>
      <c r="T45" s="478"/>
      <c r="U45" s="490"/>
      <c r="V45" s="490"/>
      <c r="W45" s="490"/>
      <c r="X45" s="306">
        <f t="shared" si="0"/>
        <v>101.6</v>
      </c>
      <c r="Y45" s="207" t="s">
        <v>185</v>
      </c>
      <c r="Z45" s="19">
        <v>39.1</v>
      </c>
      <c r="AA45" s="319"/>
      <c r="AB45" s="15">
        <v>53.4</v>
      </c>
      <c r="AC45" s="482"/>
      <c r="AD45" s="260">
        <f>X45*Z45/100</f>
        <v>39.7256</v>
      </c>
      <c r="AE45" s="306"/>
      <c r="AF45" s="260">
        <f t="shared" si="5"/>
        <v>54.254399999999997</v>
      </c>
      <c r="AG45" s="306"/>
      <c r="AH45" s="20">
        <f t="shared" si="3"/>
        <v>0</v>
      </c>
      <c r="AI45" s="309"/>
      <c r="AJ45" s="307"/>
      <c r="AK45" s="307"/>
      <c r="AL45" s="307"/>
      <c r="AM45" s="307"/>
      <c r="AN45" s="307"/>
      <c r="AO45" s="307"/>
      <c r="AP45" s="307"/>
      <c r="AQ45" s="306"/>
    </row>
    <row r="46" spans="1:44" ht="15" customHeight="1" x14ac:dyDescent="0.25">
      <c r="A46" s="261"/>
      <c r="B46" s="261"/>
      <c r="C46" s="490"/>
      <c r="D46" s="490"/>
      <c r="E46" s="490"/>
      <c r="F46" s="490"/>
      <c r="G46" s="490"/>
      <c r="H46" s="490"/>
      <c r="I46" s="478"/>
      <c r="J46" s="490"/>
      <c r="K46" s="490"/>
      <c r="L46" s="490"/>
      <c r="M46" s="490"/>
      <c r="N46" s="490"/>
      <c r="O46" s="490"/>
      <c r="P46" s="490"/>
      <c r="Q46" s="490"/>
      <c r="R46" s="490"/>
      <c r="S46" s="491"/>
      <c r="T46" s="490"/>
      <c r="U46" s="490"/>
      <c r="V46" s="490"/>
      <c r="W46" s="490"/>
      <c r="X46" s="306">
        <f t="shared" si="0"/>
        <v>0</v>
      </c>
      <c r="Y46" s="207" t="s">
        <v>186</v>
      </c>
      <c r="Z46" s="19"/>
      <c r="AA46" s="319"/>
      <c r="AB46" s="15"/>
      <c r="AC46" s="482"/>
      <c r="AD46" s="260">
        <f>X46*Z46/100</f>
        <v>0</v>
      </c>
      <c r="AE46" s="306"/>
      <c r="AF46" s="260">
        <f t="shared" si="5"/>
        <v>0</v>
      </c>
      <c r="AG46" s="306"/>
      <c r="AH46" s="20">
        <f t="shared" si="3"/>
        <v>0</v>
      </c>
      <c r="AI46" s="309"/>
      <c r="AJ46" s="307"/>
      <c r="AK46" s="307"/>
      <c r="AL46" s="307"/>
      <c r="AM46" s="307"/>
      <c r="AN46" s="307"/>
      <c r="AO46" s="307"/>
      <c r="AP46" s="307"/>
      <c r="AQ46" s="306"/>
    </row>
    <row r="47" spans="1:44" ht="15" customHeight="1" x14ac:dyDescent="0.25">
      <c r="A47" s="261"/>
      <c r="B47" s="261"/>
      <c r="C47" s="490"/>
      <c r="D47" s="478"/>
      <c r="E47" s="478"/>
      <c r="F47" s="490"/>
      <c r="G47" s="490"/>
      <c r="H47" s="490"/>
      <c r="I47" s="478">
        <v>54.3</v>
      </c>
      <c r="J47" s="490"/>
      <c r="K47" s="490"/>
      <c r="L47" s="490"/>
      <c r="M47" s="490"/>
      <c r="N47" s="490"/>
      <c r="O47" s="478"/>
      <c r="P47" s="478"/>
      <c r="Q47" s="478">
        <v>43</v>
      </c>
      <c r="R47" s="478"/>
      <c r="S47" s="478">
        <v>18.899999999999999</v>
      </c>
      <c r="T47" s="478"/>
      <c r="U47" s="490"/>
      <c r="V47" s="490"/>
      <c r="W47" s="490"/>
      <c r="X47" s="306">
        <f t="shared" si="0"/>
        <v>116.19999999999999</v>
      </c>
      <c r="Y47" s="207" t="s">
        <v>187</v>
      </c>
      <c r="Z47" s="485"/>
      <c r="AA47" s="319"/>
      <c r="AB47" s="15">
        <v>94.1</v>
      </c>
      <c r="AC47" s="482"/>
      <c r="AD47" s="260">
        <f>X47*Z47/100</f>
        <v>0</v>
      </c>
      <c r="AE47" s="306"/>
      <c r="AF47" s="260">
        <f t="shared" si="5"/>
        <v>109.34419999999999</v>
      </c>
      <c r="AG47" s="306"/>
      <c r="AH47" s="20">
        <f t="shared" si="3"/>
        <v>0</v>
      </c>
      <c r="AI47" s="309"/>
      <c r="AJ47" s="307"/>
      <c r="AK47" s="307"/>
      <c r="AL47" s="307"/>
      <c r="AM47" s="307"/>
      <c r="AN47" s="307"/>
      <c r="AO47" s="307"/>
      <c r="AP47" s="307"/>
      <c r="AQ47" s="306"/>
    </row>
    <row r="48" spans="1:44" s="488" customFormat="1" ht="15" customHeight="1" x14ac:dyDescent="0.3">
      <c r="A48" s="492"/>
      <c r="B48" s="492"/>
      <c r="C48" s="489"/>
      <c r="D48" s="489"/>
      <c r="E48" s="489"/>
      <c r="F48" s="489"/>
      <c r="G48" s="489"/>
      <c r="H48" s="489"/>
      <c r="I48" s="490"/>
      <c r="J48" s="490"/>
      <c r="K48" s="489"/>
      <c r="L48" s="489"/>
      <c r="M48" s="489"/>
      <c r="N48" s="15">
        <f>AF48-AE48</f>
        <v>0</v>
      </c>
      <c r="O48" s="490"/>
      <c r="P48" s="490"/>
      <c r="Q48" s="490"/>
      <c r="R48" s="490"/>
      <c r="S48" s="490"/>
      <c r="T48" s="490"/>
      <c r="U48" s="490"/>
      <c r="V48" s="490"/>
      <c r="W48" s="490"/>
      <c r="X48" s="306">
        <f t="shared" si="0"/>
        <v>0</v>
      </c>
      <c r="Y48" s="207" t="s">
        <v>188</v>
      </c>
      <c r="Z48" s="320"/>
      <c r="AA48" s="307"/>
      <c r="AB48" s="15"/>
      <c r="AC48" s="321"/>
      <c r="AD48" s="485">
        <f>-AE48/$D$2%</f>
        <v>0</v>
      </c>
      <c r="AE48" s="17"/>
      <c r="AF48" s="320">
        <f>AE48*AB48%</f>
        <v>0</v>
      </c>
      <c r="AG48" s="482"/>
      <c r="AH48" s="487"/>
      <c r="AI48" s="350"/>
      <c r="AJ48" s="319"/>
      <c r="AK48" s="319"/>
      <c r="AL48" s="319"/>
      <c r="AM48" s="319"/>
      <c r="AN48" s="319"/>
      <c r="AO48" s="319"/>
      <c r="AP48" s="319"/>
      <c r="AQ48" s="308"/>
    </row>
    <row r="49" spans="1:43" s="488" customFormat="1" ht="15" customHeight="1" x14ac:dyDescent="0.3">
      <c r="A49" s="492"/>
      <c r="B49" s="492"/>
      <c r="C49" s="489"/>
      <c r="D49" s="489"/>
      <c r="E49" s="489"/>
      <c r="F49" s="489"/>
      <c r="G49" s="489"/>
      <c r="H49" s="489"/>
      <c r="I49" s="490"/>
      <c r="J49" s="490"/>
      <c r="K49" s="489"/>
      <c r="L49" s="489"/>
      <c r="M49" s="489"/>
      <c r="N49" s="307"/>
      <c r="O49" s="490"/>
      <c r="P49" s="490"/>
      <c r="Q49" s="490"/>
      <c r="R49" s="490"/>
      <c r="S49" s="490"/>
      <c r="T49" s="490"/>
      <c r="U49" s="490"/>
      <c r="V49" s="490"/>
      <c r="W49" s="490"/>
      <c r="X49" s="306">
        <f t="shared" si="0"/>
        <v>0</v>
      </c>
      <c r="Y49" s="207" t="s">
        <v>189</v>
      </c>
      <c r="Z49" s="320"/>
      <c r="AA49" s="307"/>
      <c r="AB49" s="15">
        <v>100.2</v>
      </c>
      <c r="AC49" s="321"/>
      <c r="AD49" s="485">
        <f>-AE49/$D$2%</f>
        <v>0</v>
      </c>
      <c r="AE49" s="17"/>
      <c r="AF49" s="485">
        <f>AE49*AB49%</f>
        <v>0</v>
      </c>
      <c r="AG49" s="482"/>
      <c r="AH49" s="487"/>
      <c r="AI49" s="350"/>
      <c r="AJ49" s="319"/>
      <c r="AK49" s="319"/>
      <c r="AL49" s="319"/>
      <c r="AM49" s="319"/>
      <c r="AN49" s="319"/>
      <c r="AO49" s="319"/>
      <c r="AP49" s="319"/>
      <c r="AQ49" s="308"/>
    </row>
    <row r="50" spans="1:43" ht="15" customHeight="1" x14ac:dyDescent="0.25">
      <c r="A50" s="261"/>
      <c r="B50" s="261"/>
      <c r="C50" s="489"/>
      <c r="D50" s="490"/>
      <c r="E50" s="490"/>
      <c r="F50" s="490"/>
      <c r="G50" s="490"/>
      <c r="H50" s="490"/>
      <c r="I50" s="490"/>
      <c r="J50" s="490"/>
      <c r="K50" s="490"/>
      <c r="L50" s="478"/>
      <c r="M50" s="490"/>
      <c r="N50" s="319"/>
      <c r="O50" s="490"/>
      <c r="P50" s="490"/>
      <c r="Q50" s="490"/>
      <c r="R50" s="490"/>
      <c r="S50" s="490"/>
      <c r="T50" s="490"/>
      <c r="U50" s="490"/>
      <c r="V50" s="490"/>
      <c r="W50" s="490"/>
      <c r="X50" s="306">
        <f t="shared" si="0"/>
        <v>0</v>
      </c>
      <c r="Y50" s="323" t="s">
        <v>190</v>
      </c>
      <c r="Z50" s="485"/>
      <c r="AA50" s="319"/>
      <c r="AB50" s="15">
        <v>100</v>
      </c>
      <c r="AC50" s="482"/>
      <c r="AD50" s="260"/>
      <c r="AE50" s="306"/>
      <c r="AF50" s="260">
        <f t="shared" si="5"/>
        <v>0</v>
      </c>
      <c r="AG50" s="306"/>
      <c r="AH50" s="20">
        <f t="shared" si="3"/>
        <v>0</v>
      </c>
      <c r="AI50" s="309"/>
      <c r="AJ50" s="307"/>
      <c r="AK50" s="307"/>
      <c r="AL50" s="307"/>
      <c r="AM50" s="307"/>
      <c r="AN50" s="307"/>
      <c r="AO50" s="307"/>
      <c r="AP50" s="307"/>
      <c r="AQ50" s="306"/>
    </row>
    <row r="51" spans="1:43" ht="15" customHeight="1" x14ac:dyDescent="0.25">
      <c r="A51" s="307"/>
      <c r="B51" s="15"/>
      <c r="C51" s="490"/>
      <c r="D51" s="490"/>
      <c r="E51" s="478"/>
      <c r="F51" s="490"/>
      <c r="G51" s="490"/>
      <c r="H51" s="490"/>
      <c r="I51" s="478"/>
      <c r="J51" s="490"/>
      <c r="K51" s="490"/>
      <c r="L51" s="490"/>
      <c r="M51" s="490"/>
      <c r="N51" s="319"/>
      <c r="O51" s="490"/>
      <c r="P51" s="490"/>
      <c r="Q51" s="490"/>
      <c r="R51" s="478"/>
      <c r="S51" s="478"/>
      <c r="T51" s="490"/>
      <c r="U51" s="478"/>
      <c r="V51" s="490"/>
      <c r="W51" s="478"/>
      <c r="X51" s="306">
        <f t="shared" si="0"/>
        <v>0</v>
      </c>
      <c r="Y51" s="207" t="s">
        <v>191</v>
      </c>
      <c r="Z51" s="19"/>
      <c r="AA51" s="319"/>
      <c r="AB51" s="15"/>
      <c r="AC51" s="482"/>
      <c r="AD51" s="260">
        <f>X51*Z51/100</f>
        <v>0</v>
      </c>
      <c r="AE51" s="306"/>
      <c r="AF51" s="260">
        <f t="shared" si="5"/>
        <v>0</v>
      </c>
      <c r="AG51" s="306"/>
      <c r="AH51" s="20">
        <f t="shared" si="3"/>
        <v>0</v>
      </c>
      <c r="AI51" s="309"/>
      <c r="AJ51" s="307"/>
      <c r="AK51" s="307"/>
      <c r="AL51" s="307"/>
      <c r="AM51" s="307"/>
      <c r="AN51" s="307"/>
      <c r="AO51" s="307"/>
      <c r="AP51" s="307"/>
      <c r="AQ51" s="306"/>
    </row>
    <row r="52" spans="1:43" ht="15" customHeight="1" x14ac:dyDescent="0.25">
      <c r="A52" s="261"/>
      <c r="B52" s="261"/>
      <c r="C52" s="489"/>
      <c r="D52" s="490"/>
      <c r="E52" s="490"/>
      <c r="F52" s="490"/>
      <c r="G52" s="490"/>
      <c r="H52" s="490"/>
      <c r="I52" s="490"/>
      <c r="J52" s="490"/>
      <c r="K52" s="490"/>
      <c r="L52" s="490"/>
      <c r="M52" s="490"/>
      <c r="N52" s="319"/>
      <c r="O52" s="490"/>
      <c r="P52" s="490"/>
      <c r="Q52" s="490"/>
      <c r="R52" s="490"/>
      <c r="S52" s="490"/>
      <c r="T52" s="490"/>
      <c r="U52" s="490"/>
      <c r="V52" s="490"/>
      <c r="W52" s="490"/>
      <c r="X52" s="306">
        <f t="shared" si="0"/>
        <v>0</v>
      </c>
      <c r="Y52" s="207" t="s">
        <v>192</v>
      </c>
      <c r="Z52" s="485"/>
      <c r="AA52" s="319"/>
      <c r="AB52" s="319"/>
      <c r="AC52" s="17">
        <f>100-22.83</f>
        <v>77.17</v>
      </c>
      <c r="AD52" s="320"/>
      <c r="AE52" s="321"/>
      <c r="AF52" s="320">
        <f>-SUM(AF44:AF51)</f>
        <v>-163.59859999999998</v>
      </c>
      <c r="AG52" s="321">
        <f>-AF52*AC52/100</f>
        <v>126.24903961999999</v>
      </c>
      <c r="AH52" s="20">
        <f t="shared" si="3"/>
        <v>126.37528865961998</v>
      </c>
      <c r="AI52" s="16">
        <f>AG52*65.2%</f>
        <v>82.314373832239994</v>
      </c>
      <c r="AJ52" s="16">
        <f>AG52*9.9%</f>
        <v>12.49865492238</v>
      </c>
      <c r="AK52" s="15">
        <f>AG52*13.3%</f>
        <v>16.791122269460001</v>
      </c>
      <c r="AL52" s="15">
        <f>AG52*7%</f>
        <v>8.8374327733999998</v>
      </c>
      <c r="AM52" s="15">
        <f>AG52*0%</f>
        <v>0</v>
      </c>
      <c r="AN52" s="15">
        <f>AG52*3.2%</f>
        <v>4.0399692678400001</v>
      </c>
      <c r="AO52" s="15">
        <f>AG52*1.5%</f>
        <v>1.8937355942999998</v>
      </c>
      <c r="AP52" s="15"/>
      <c r="AQ52" s="306"/>
    </row>
    <row r="53" spans="1:43" ht="15" customHeight="1" x14ac:dyDescent="0.25">
      <c r="A53" s="261"/>
      <c r="B53" s="261"/>
      <c r="C53" s="489"/>
      <c r="D53" s="489"/>
      <c r="E53" s="478"/>
      <c r="F53" s="490"/>
      <c r="G53" s="490"/>
      <c r="H53" s="490"/>
      <c r="I53" s="478"/>
      <c r="J53" s="490"/>
      <c r="K53" s="490"/>
      <c r="L53" s="490"/>
      <c r="M53" s="490"/>
      <c r="N53" s="319"/>
      <c r="O53" s="478"/>
      <c r="P53" s="490"/>
      <c r="Q53" s="490"/>
      <c r="R53" s="490"/>
      <c r="S53" s="490"/>
      <c r="T53" s="478"/>
      <c r="U53" s="490"/>
      <c r="V53" s="478">
        <v>23.1</v>
      </c>
      <c r="W53" s="490"/>
      <c r="X53" s="306">
        <f t="shared" si="0"/>
        <v>23.1</v>
      </c>
      <c r="Y53" s="207" t="s">
        <v>193</v>
      </c>
      <c r="Z53" s="19">
        <v>29.3</v>
      </c>
      <c r="AA53" s="319"/>
      <c r="AB53" s="15"/>
      <c r="AC53" s="482"/>
      <c r="AD53" s="320">
        <f>X53*Z53/100</f>
        <v>6.7683</v>
      </c>
      <c r="AE53" s="321"/>
      <c r="AF53" s="320">
        <f>X53*AB53/100</f>
        <v>0</v>
      </c>
      <c r="AG53" s="321"/>
      <c r="AH53" s="20">
        <f t="shared" ref="AH53:AH80" si="6">SUM(AI53:AQ53)</f>
        <v>0</v>
      </c>
      <c r="AI53" s="309"/>
      <c r="AJ53" s="319"/>
      <c r="AK53" s="319"/>
      <c r="AL53" s="319"/>
      <c r="AM53" s="319"/>
      <c r="AN53" s="319"/>
      <c r="AO53" s="319"/>
      <c r="AP53" s="319"/>
      <c r="AQ53" s="306"/>
    </row>
    <row r="54" spans="1:43" ht="15" customHeight="1" x14ac:dyDescent="0.25">
      <c r="A54" s="261"/>
      <c r="B54" s="261"/>
      <c r="C54" s="489"/>
      <c r="D54" s="489"/>
      <c r="E54" s="490"/>
      <c r="F54" s="490"/>
      <c r="G54" s="490"/>
      <c r="H54" s="490"/>
      <c r="I54" s="478"/>
      <c r="J54" s="490"/>
      <c r="K54" s="490"/>
      <c r="L54" s="478"/>
      <c r="M54" s="490"/>
      <c r="N54" s="319"/>
      <c r="O54" s="478"/>
      <c r="P54" s="490"/>
      <c r="Q54" s="490"/>
      <c r="R54" s="490"/>
      <c r="S54" s="478"/>
      <c r="T54" s="478"/>
      <c r="U54" s="490"/>
      <c r="V54" s="490"/>
      <c r="W54" s="490"/>
      <c r="X54" s="313">
        <f t="shared" si="0"/>
        <v>0</v>
      </c>
      <c r="Y54" s="207" t="s">
        <v>194</v>
      </c>
      <c r="Z54" s="485"/>
      <c r="AA54" s="319"/>
      <c r="AB54" s="15"/>
      <c r="AC54" s="482"/>
      <c r="AD54" s="320">
        <f>X54*Z54/100</f>
        <v>0</v>
      </c>
      <c r="AE54" s="321"/>
      <c r="AF54" s="320">
        <f>X54*AB54/100</f>
        <v>0</v>
      </c>
      <c r="AG54" s="321"/>
      <c r="AH54" s="20">
        <f t="shared" si="6"/>
        <v>0</v>
      </c>
      <c r="AI54" s="309"/>
      <c r="AJ54" s="319"/>
      <c r="AK54" s="319"/>
      <c r="AL54" s="319"/>
      <c r="AM54" s="319"/>
      <c r="AN54" s="319"/>
      <c r="AO54" s="319"/>
      <c r="AP54" s="319"/>
      <c r="AQ54" s="306"/>
    </row>
    <row r="55" spans="1:43" ht="15" customHeight="1" x14ac:dyDescent="0.25">
      <c r="A55" s="261"/>
      <c r="B55" s="261"/>
      <c r="C55" s="489"/>
      <c r="D55" s="489"/>
      <c r="E55" s="489"/>
      <c r="F55" s="489"/>
      <c r="G55" s="489"/>
      <c r="H55" s="489"/>
      <c r="I55" s="489"/>
      <c r="J55" s="489"/>
      <c r="K55" s="489"/>
      <c r="L55" s="489"/>
      <c r="M55" s="489"/>
      <c r="N55" s="319"/>
      <c r="O55" s="490"/>
      <c r="P55" s="490"/>
      <c r="Q55" s="490"/>
      <c r="R55" s="490"/>
      <c r="S55" s="490"/>
      <c r="T55" s="490"/>
      <c r="U55" s="490"/>
      <c r="V55" s="490"/>
      <c r="W55" s="490"/>
      <c r="X55" s="313">
        <f t="shared" si="0"/>
        <v>0</v>
      </c>
      <c r="Y55" s="207" t="s">
        <v>195</v>
      </c>
      <c r="Z55" s="485"/>
      <c r="AA55" s="319"/>
      <c r="AB55" s="319"/>
      <c r="AC55" s="17">
        <f>100-22.83</f>
        <v>77.17</v>
      </c>
      <c r="AD55" s="320"/>
      <c r="AE55" s="321"/>
      <c r="AF55" s="320">
        <f>-SUM(AF53:AF54)</f>
        <v>0</v>
      </c>
      <c r="AG55" s="321">
        <f>-AF55*AC55/100</f>
        <v>0</v>
      </c>
      <c r="AH55" s="20">
        <f t="shared" si="6"/>
        <v>0</v>
      </c>
      <c r="AI55" s="16">
        <f>AG55*65.2%</f>
        <v>0</v>
      </c>
      <c r="AJ55" s="16">
        <f>AG55*9.9%</f>
        <v>0</v>
      </c>
      <c r="AK55" s="15">
        <f>AG55*13.3%</f>
        <v>0</v>
      </c>
      <c r="AL55" s="15">
        <f>AG55*7%</f>
        <v>0</v>
      </c>
      <c r="AM55" s="15">
        <f>AG55*0%</f>
        <v>0</v>
      </c>
      <c r="AN55" s="15">
        <f>AG55*3.2%</f>
        <v>0</v>
      </c>
      <c r="AO55" s="15">
        <f>AG55*1.5%</f>
        <v>0</v>
      </c>
      <c r="AP55" s="15"/>
      <c r="AQ55" s="306"/>
    </row>
    <row r="56" spans="1:43" ht="15" customHeight="1" x14ac:dyDescent="0.25">
      <c r="A56" s="261"/>
      <c r="B56" s="261"/>
      <c r="C56" s="489"/>
      <c r="D56" s="478"/>
      <c r="E56" s="478">
        <v>7.5</v>
      </c>
      <c r="F56" s="489"/>
      <c r="G56" s="489"/>
      <c r="H56" s="489"/>
      <c r="I56" s="478">
        <v>18.600000000000001</v>
      </c>
      <c r="J56" s="489"/>
      <c r="K56" s="489"/>
      <c r="L56" s="489"/>
      <c r="M56" s="489"/>
      <c r="N56" s="319"/>
      <c r="O56" s="478"/>
      <c r="P56" s="478"/>
      <c r="Q56" s="478">
        <v>59.3</v>
      </c>
      <c r="R56" s="478"/>
      <c r="S56" s="478"/>
      <c r="T56" s="478"/>
      <c r="U56" s="490"/>
      <c r="V56" s="490"/>
      <c r="W56" s="490"/>
      <c r="X56" s="313">
        <f t="shared" si="0"/>
        <v>85.4</v>
      </c>
      <c r="Y56" s="207" t="s">
        <v>196</v>
      </c>
      <c r="Z56" s="485"/>
      <c r="AA56" s="319"/>
      <c r="AB56" s="15">
        <v>89.9</v>
      </c>
      <c r="AC56" s="482"/>
      <c r="AD56" s="320"/>
      <c r="AE56" s="321"/>
      <c r="AF56" s="320">
        <f>X56*AB56/100</f>
        <v>76.774600000000007</v>
      </c>
      <c r="AG56" s="321"/>
      <c r="AH56" s="20">
        <f t="shared" si="6"/>
        <v>0</v>
      </c>
      <c r="AI56" s="309"/>
      <c r="AJ56" s="307"/>
      <c r="AK56" s="307"/>
      <c r="AL56" s="307"/>
      <c r="AM56" s="307"/>
      <c r="AN56" s="307"/>
      <c r="AO56" s="307"/>
      <c r="AP56" s="307"/>
      <c r="AQ56" s="306"/>
    </row>
    <row r="57" spans="1:43" ht="15" customHeight="1" x14ac:dyDescent="0.25">
      <c r="A57" s="261"/>
      <c r="B57" s="261"/>
      <c r="C57" s="292"/>
      <c r="D57" s="292"/>
      <c r="E57" s="292"/>
      <c r="F57" s="292"/>
      <c r="G57" s="292"/>
      <c r="H57" s="292"/>
      <c r="I57" s="480"/>
      <c r="J57" s="292"/>
      <c r="K57" s="292"/>
      <c r="L57" s="292"/>
      <c r="M57" s="292"/>
      <c r="N57" s="15">
        <f>AF57-AE57</f>
        <v>0</v>
      </c>
      <c r="O57" s="480"/>
      <c r="P57" s="480"/>
      <c r="Q57" s="480"/>
      <c r="R57" s="480"/>
      <c r="S57" s="480"/>
      <c r="T57" s="480"/>
      <c r="U57" s="480"/>
      <c r="V57" s="480"/>
      <c r="W57" s="480"/>
      <c r="X57" s="313">
        <f t="shared" si="0"/>
        <v>0</v>
      </c>
      <c r="Y57" s="207" t="s">
        <v>197</v>
      </c>
      <c r="Z57" s="320"/>
      <c r="AA57" s="307"/>
      <c r="AB57" s="15"/>
      <c r="AC57" s="321"/>
      <c r="AD57" s="320">
        <f>-AE57/$D$2%</f>
        <v>0</v>
      </c>
      <c r="AE57" s="17"/>
      <c r="AF57" s="320">
        <f>AE57*AB57%</f>
        <v>0</v>
      </c>
      <c r="AG57" s="306"/>
      <c r="AH57" s="20"/>
      <c r="AI57" s="309"/>
      <c r="AJ57" s="307"/>
      <c r="AK57" s="307"/>
      <c r="AL57" s="307"/>
      <c r="AM57" s="307"/>
      <c r="AN57" s="307"/>
      <c r="AO57" s="307"/>
      <c r="AP57" s="307"/>
      <c r="AQ57" s="306"/>
    </row>
    <row r="58" spans="1:43" ht="15" customHeight="1" x14ac:dyDescent="0.25">
      <c r="A58" s="307"/>
      <c r="B58" s="307"/>
      <c r="C58" s="480"/>
      <c r="D58" s="480"/>
      <c r="E58" s="480"/>
      <c r="F58" s="480"/>
      <c r="G58" s="480"/>
      <c r="H58" s="480"/>
      <c r="I58" s="480"/>
      <c r="J58" s="480"/>
      <c r="K58" s="480"/>
      <c r="L58" s="480"/>
      <c r="M58" s="480"/>
      <c r="N58" s="480"/>
      <c r="O58" s="480"/>
      <c r="P58" s="480"/>
      <c r="Q58" s="480"/>
      <c r="R58" s="480"/>
      <c r="S58" s="480"/>
      <c r="T58" s="480"/>
      <c r="U58" s="480"/>
      <c r="V58" s="480"/>
      <c r="W58" s="480"/>
      <c r="X58" s="313">
        <f t="shared" si="0"/>
        <v>0</v>
      </c>
      <c r="Y58" s="207" t="s">
        <v>198</v>
      </c>
      <c r="Z58" s="320"/>
      <c r="AA58" s="307"/>
      <c r="AB58" s="15">
        <v>100</v>
      </c>
      <c r="AC58" s="321"/>
      <c r="AD58" s="320">
        <f>-AE58/$D$2%</f>
        <v>0</v>
      </c>
      <c r="AE58" s="17"/>
      <c r="AF58" s="320">
        <f>X58*AB58/100</f>
        <v>0</v>
      </c>
      <c r="AG58" s="321"/>
      <c r="AH58" s="20"/>
      <c r="AI58" s="309"/>
      <c r="AJ58" s="307"/>
      <c r="AK58" s="307"/>
      <c r="AL58" s="307"/>
      <c r="AM58" s="307"/>
      <c r="AN58" s="307"/>
      <c r="AO58" s="307"/>
      <c r="AP58" s="307"/>
      <c r="AQ58" s="306"/>
    </row>
    <row r="59" spans="1:43" ht="15" customHeight="1" x14ac:dyDescent="0.25">
      <c r="A59" s="261"/>
      <c r="B59" s="261"/>
      <c r="C59" s="480"/>
      <c r="D59" s="480"/>
      <c r="E59" s="480"/>
      <c r="F59" s="480"/>
      <c r="G59" s="480"/>
      <c r="H59" s="480"/>
      <c r="I59" s="480"/>
      <c r="J59" s="480"/>
      <c r="K59" s="480"/>
      <c r="L59" s="480"/>
      <c r="M59" s="480"/>
      <c r="N59" s="480"/>
      <c r="O59" s="480"/>
      <c r="P59" s="480"/>
      <c r="Q59" s="480"/>
      <c r="R59" s="480"/>
      <c r="S59" s="480"/>
      <c r="T59" s="480"/>
      <c r="U59" s="480"/>
      <c r="V59" s="480"/>
      <c r="W59" s="480"/>
      <c r="X59" s="313">
        <f t="shared" si="0"/>
        <v>0</v>
      </c>
      <c r="Y59" s="207" t="s">
        <v>199</v>
      </c>
      <c r="Z59" s="320"/>
      <c r="AA59" s="307"/>
      <c r="AB59" s="307"/>
      <c r="AC59" s="321"/>
      <c r="AD59" s="320"/>
      <c r="AE59" s="321"/>
      <c r="AF59" s="320">
        <f>X59*AB59/100</f>
        <v>0</v>
      </c>
      <c r="AG59" s="321"/>
      <c r="AH59" s="20"/>
      <c r="AI59" s="309"/>
      <c r="AJ59" s="307"/>
      <c r="AK59" s="307"/>
      <c r="AL59" s="307"/>
      <c r="AM59" s="307"/>
      <c r="AN59" s="307"/>
      <c r="AO59" s="307"/>
      <c r="AP59" s="307"/>
      <c r="AQ59" s="306"/>
    </row>
    <row r="60" spans="1:43" ht="15" customHeight="1" x14ac:dyDescent="0.25">
      <c r="A60" s="261"/>
      <c r="B60" s="261"/>
      <c r="C60" s="489"/>
      <c r="D60" s="489"/>
      <c r="E60" s="489"/>
      <c r="F60" s="489"/>
      <c r="G60" s="489"/>
      <c r="H60" s="489"/>
      <c r="I60" s="493"/>
      <c r="J60" s="489"/>
      <c r="K60" s="489"/>
      <c r="L60" s="478">
        <v>21.8</v>
      </c>
      <c r="M60" s="489"/>
      <c r="N60" s="490"/>
      <c r="O60" s="490"/>
      <c r="P60" s="490"/>
      <c r="Q60" s="490"/>
      <c r="R60" s="490"/>
      <c r="S60" s="490"/>
      <c r="T60" s="490"/>
      <c r="U60" s="490"/>
      <c r="V60" s="490"/>
      <c r="W60" s="490"/>
      <c r="X60" s="313">
        <f t="shared" si="0"/>
        <v>21.8</v>
      </c>
      <c r="Y60" s="207" t="s">
        <v>487</v>
      </c>
      <c r="Z60" s="485"/>
      <c r="AA60" s="319"/>
      <c r="AB60" s="15">
        <v>100</v>
      </c>
      <c r="AC60" s="482"/>
      <c r="AD60" s="320"/>
      <c r="AE60" s="321"/>
      <c r="AF60" s="320">
        <f>X60*AB60/100</f>
        <v>21.8</v>
      </c>
      <c r="AG60" s="321"/>
      <c r="AH60" s="20">
        <f t="shared" si="6"/>
        <v>0</v>
      </c>
      <c r="AI60" s="309"/>
      <c r="AJ60" s="307"/>
      <c r="AK60" s="307"/>
      <c r="AL60" s="307"/>
      <c r="AM60" s="307"/>
      <c r="AN60" s="307"/>
      <c r="AO60" s="307"/>
      <c r="AP60" s="307"/>
      <c r="AQ60" s="306"/>
    </row>
    <row r="61" spans="1:43" ht="15" customHeight="1" x14ac:dyDescent="0.25">
      <c r="A61" s="260"/>
      <c r="B61" s="261"/>
      <c r="C61" s="489"/>
      <c r="D61" s="489"/>
      <c r="E61" s="489"/>
      <c r="F61" s="489"/>
      <c r="G61" s="489"/>
      <c r="H61" s="489"/>
      <c r="I61" s="489"/>
      <c r="J61" s="489"/>
      <c r="K61" s="489"/>
      <c r="L61" s="489"/>
      <c r="M61" s="489"/>
      <c r="N61" s="490"/>
      <c r="O61" s="490"/>
      <c r="P61" s="490"/>
      <c r="Q61" s="490"/>
      <c r="R61" s="490"/>
      <c r="S61" s="490"/>
      <c r="T61" s="490"/>
      <c r="U61" s="490"/>
      <c r="V61" s="490"/>
      <c r="W61" s="490"/>
      <c r="X61" s="313">
        <f t="shared" si="0"/>
        <v>0</v>
      </c>
      <c r="Y61" s="207" t="s">
        <v>488</v>
      </c>
      <c r="Z61" s="485"/>
      <c r="AA61" s="319"/>
      <c r="AB61" s="319"/>
      <c r="AC61" s="482"/>
      <c r="AD61" s="320">
        <f>X61*Z61%</f>
        <v>0</v>
      </c>
      <c r="AE61" s="321"/>
      <c r="AF61" s="320">
        <f>X61*AB61%</f>
        <v>0</v>
      </c>
      <c r="AG61" s="321"/>
      <c r="AH61" s="20">
        <f t="shared" si="6"/>
        <v>0</v>
      </c>
      <c r="AI61" s="309"/>
      <c r="AJ61" s="307"/>
      <c r="AK61" s="307"/>
      <c r="AL61" s="307"/>
      <c r="AM61" s="307"/>
      <c r="AN61" s="307"/>
      <c r="AO61" s="307"/>
      <c r="AP61" s="307"/>
      <c r="AQ61" s="306"/>
    </row>
    <row r="62" spans="1:43" ht="15" customHeight="1" x14ac:dyDescent="0.25">
      <c r="A62" s="261"/>
      <c r="B62" s="261"/>
      <c r="C62" s="489"/>
      <c r="D62" s="489"/>
      <c r="E62" s="489"/>
      <c r="F62" s="489"/>
      <c r="G62" s="489"/>
      <c r="H62" s="489"/>
      <c r="I62" s="493"/>
      <c r="J62" s="489"/>
      <c r="K62" s="489"/>
      <c r="L62" s="489"/>
      <c r="M62" s="489"/>
      <c r="N62" s="490"/>
      <c r="O62" s="489"/>
      <c r="P62" s="489"/>
      <c r="Q62" s="489"/>
      <c r="R62" s="489"/>
      <c r="S62" s="489"/>
      <c r="T62" s="489"/>
      <c r="U62" s="489"/>
      <c r="V62" s="489"/>
      <c r="W62" s="489"/>
      <c r="X62" s="313">
        <f t="shared" si="0"/>
        <v>0</v>
      </c>
      <c r="Y62" s="207" t="s">
        <v>200</v>
      </c>
      <c r="Z62" s="485"/>
      <c r="AA62" s="319"/>
      <c r="AB62" s="319"/>
      <c r="AC62" s="17">
        <f>100-22.83</f>
        <v>77.17</v>
      </c>
      <c r="AD62" s="320"/>
      <c r="AE62" s="321"/>
      <c r="AF62" s="486">
        <f>-SUM(AF56:AF61)</f>
        <v>-98.574600000000004</v>
      </c>
      <c r="AG62" s="321">
        <f>-AF62*AC62/100</f>
        <v>76.070018820000001</v>
      </c>
      <c r="AH62" s="20">
        <f t="shared" si="6"/>
        <v>76.146088838820006</v>
      </c>
      <c r="AI62" s="16">
        <f>AG62*65.2%</f>
        <v>49.597652270640005</v>
      </c>
      <c r="AJ62" s="16">
        <f>AG62*9.9%</f>
        <v>7.5309318631800002</v>
      </c>
      <c r="AK62" s="15">
        <f>AG62*13.3%</f>
        <v>10.117312503060001</v>
      </c>
      <c r="AL62" s="15">
        <f>AG62*7%</f>
        <v>5.3249013174000002</v>
      </c>
      <c r="AM62" s="15">
        <f>AG62*0%</f>
        <v>0</v>
      </c>
      <c r="AN62" s="15">
        <f>AG62*3.2%</f>
        <v>2.4342406022400001</v>
      </c>
      <c r="AO62" s="15">
        <f>AG62*1.5%</f>
        <v>1.1410502822999999</v>
      </c>
      <c r="AP62" s="15"/>
      <c r="AQ62" s="306"/>
    </row>
    <row r="63" spans="1:43" ht="15" customHeight="1" x14ac:dyDescent="0.25">
      <c r="A63" s="261"/>
      <c r="B63" s="261"/>
      <c r="C63" s="490"/>
      <c r="D63" s="478"/>
      <c r="E63" s="490"/>
      <c r="F63" s="490"/>
      <c r="G63" s="490"/>
      <c r="H63" s="490"/>
      <c r="I63" s="490"/>
      <c r="J63" s="490"/>
      <c r="K63" s="490"/>
      <c r="L63" s="490"/>
      <c r="M63" s="490"/>
      <c r="N63" s="490"/>
      <c r="O63" s="490"/>
      <c r="P63" s="478"/>
      <c r="Q63" s="490"/>
      <c r="R63" s="490"/>
      <c r="S63" s="478"/>
      <c r="T63" s="490"/>
      <c r="U63" s="478"/>
      <c r="V63" s="490"/>
      <c r="W63" s="478"/>
      <c r="X63" s="313">
        <f t="shared" si="0"/>
        <v>0</v>
      </c>
      <c r="Y63" s="207" t="s">
        <v>201</v>
      </c>
      <c r="Z63" s="19"/>
      <c r="AA63" s="319"/>
      <c r="AB63" s="15"/>
      <c r="AC63" s="482"/>
      <c r="AD63" s="320">
        <f t="shared" ref="AD63:AD68" si="7">Z63/100*X63</f>
        <v>0</v>
      </c>
      <c r="AE63" s="321"/>
      <c r="AF63" s="320">
        <f t="shared" ref="AF63:AF67" si="8">X63*AB63/100</f>
        <v>0</v>
      </c>
      <c r="AG63" s="306"/>
      <c r="AH63" s="20">
        <f t="shared" si="6"/>
        <v>0</v>
      </c>
      <c r="AI63" s="309"/>
      <c r="AJ63" s="307"/>
      <c r="AK63" s="307"/>
      <c r="AL63" s="307"/>
      <c r="AM63" s="307"/>
      <c r="AN63" s="307"/>
      <c r="AO63" s="307"/>
      <c r="AP63" s="307"/>
      <c r="AQ63" s="306"/>
    </row>
    <row r="64" spans="1:43" ht="15" customHeight="1" x14ac:dyDescent="0.25">
      <c r="A64" s="261"/>
      <c r="B64" s="261"/>
      <c r="C64" s="490"/>
      <c r="D64" s="490"/>
      <c r="E64" s="490"/>
      <c r="F64" s="490"/>
      <c r="G64" s="490"/>
      <c r="H64" s="490"/>
      <c r="I64" s="478"/>
      <c r="J64" s="490"/>
      <c r="K64" s="490"/>
      <c r="L64" s="490"/>
      <c r="M64" s="490"/>
      <c r="N64" s="490"/>
      <c r="O64" s="478"/>
      <c r="P64" s="490"/>
      <c r="Q64" s="490"/>
      <c r="R64" s="490"/>
      <c r="S64" s="490"/>
      <c r="T64" s="478"/>
      <c r="U64" s="490"/>
      <c r="V64" s="490"/>
      <c r="W64" s="490"/>
      <c r="X64" s="313">
        <f t="shared" si="0"/>
        <v>0</v>
      </c>
      <c r="Y64" s="207" t="s">
        <v>202</v>
      </c>
      <c r="Z64" s="19"/>
      <c r="AA64" s="319"/>
      <c r="AB64" s="15"/>
      <c r="AC64" s="482"/>
      <c r="AD64" s="320">
        <f t="shared" si="7"/>
        <v>0</v>
      </c>
      <c r="AE64" s="321"/>
      <c r="AF64" s="320">
        <f t="shared" si="8"/>
        <v>0</v>
      </c>
      <c r="AG64" s="306"/>
      <c r="AH64" s="20">
        <f t="shared" si="6"/>
        <v>0</v>
      </c>
      <c r="AI64" s="309"/>
      <c r="AJ64" s="307"/>
      <c r="AK64" s="307"/>
      <c r="AL64" s="307"/>
      <c r="AM64" s="307"/>
      <c r="AN64" s="307"/>
      <c r="AO64" s="307"/>
      <c r="AP64" s="307"/>
      <c r="AQ64" s="306"/>
    </row>
    <row r="65" spans="1:43" ht="15" customHeight="1" x14ac:dyDescent="0.25">
      <c r="A65" s="261"/>
      <c r="B65" s="261"/>
      <c r="C65" s="490"/>
      <c r="D65" s="490"/>
      <c r="E65" s="478"/>
      <c r="F65" s="490"/>
      <c r="G65" s="490"/>
      <c r="H65" s="490"/>
      <c r="I65" s="478"/>
      <c r="J65" s="490"/>
      <c r="K65" s="490"/>
      <c r="L65" s="490"/>
      <c r="M65" s="490"/>
      <c r="N65" s="490"/>
      <c r="O65" s="490"/>
      <c r="P65" s="490"/>
      <c r="Q65" s="490"/>
      <c r="R65" s="490"/>
      <c r="S65" s="490"/>
      <c r="T65" s="490"/>
      <c r="U65" s="490"/>
      <c r="V65" s="490"/>
      <c r="W65" s="490"/>
      <c r="X65" s="313">
        <f t="shared" si="0"/>
        <v>0</v>
      </c>
      <c r="Y65" s="207" t="s">
        <v>203</v>
      </c>
      <c r="Z65" s="19"/>
      <c r="AA65" s="319"/>
      <c r="AB65" s="15"/>
      <c r="AC65" s="482"/>
      <c r="AD65" s="320">
        <f t="shared" si="7"/>
        <v>0</v>
      </c>
      <c r="AE65" s="321"/>
      <c r="AF65" s="320">
        <f t="shared" si="8"/>
        <v>0</v>
      </c>
      <c r="AG65" s="306"/>
      <c r="AH65" s="20">
        <f t="shared" si="6"/>
        <v>0</v>
      </c>
      <c r="AI65" s="309"/>
      <c r="AJ65" s="307"/>
      <c r="AK65" s="307"/>
      <c r="AL65" s="307"/>
      <c r="AM65" s="307"/>
      <c r="AN65" s="307"/>
      <c r="AO65" s="307"/>
      <c r="AP65" s="307"/>
      <c r="AQ65" s="306"/>
    </row>
    <row r="66" spans="1:43" ht="15" customHeight="1" x14ac:dyDescent="0.25">
      <c r="A66" s="261"/>
      <c r="B66" s="261"/>
      <c r="C66" s="307"/>
      <c r="D66" s="307"/>
      <c r="E66" s="15"/>
      <c r="F66" s="307"/>
      <c r="G66" s="307"/>
      <c r="H66" s="307"/>
      <c r="I66" s="15"/>
      <c r="J66" s="307"/>
      <c r="K66" s="307"/>
      <c r="L66" s="307"/>
      <c r="M66" s="307"/>
      <c r="N66" s="307"/>
      <c r="O66" s="15"/>
      <c r="P66" s="307"/>
      <c r="Q66" s="307"/>
      <c r="R66" s="15"/>
      <c r="S66" s="15"/>
      <c r="T66" s="15"/>
      <c r="U66" s="15"/>
      <c r="V66" s="307"/>
      <c r="W66" s="15"/>
      <c r="X66" s="313">
        <f t="shared" si="0"/>
        <v>0</v>
      </c>
      <c r="Y66" s="207" t="s">
        <v>204</v>
      </c>
      <c r="Z66" s="485"/>
      <c r="AA66" s="319"/>
      <c r="AB66" s="15"/>
      <c r="AC66" s="482"/>
      <c r="AD66" s="320">
        <f t="shared" si="7"/>
        <v>0</v>
      </c>
      <c r="AE66" s="321"/>
      <c r="AF66" s="320">
        <f t="shared" si="8"/>
        <v>0</v>
      </c>
      <c r="AG66" s="306"/>
      <c r="AH66" s="20">
        <f t="shared" si="6"/>
        <v>0</v>
      </c>
      <c r="AI66" s="309"/>
      <c r="AJ66" s="307"/>
      <c r="AK66" s="307"/>
      <c r="AL66" s="307"/>
      <c r="AM66" s="307"/>
      <c r="AN66" s="307"/>
      <c r="AO66" s="307"/>
      <c r="AP66" s="307"/>
      <c r="AQ66" s="306"/>
    </row>
    <row r="67" spans="1:43" ht="15" customHeight="1" x14ac:dyDescent="0.25">
      <c r="A67" s="261"/>
      <c r="B67" s="261"/>
      <c r="C67" s="307"/>
      <c r="D67" s="307"/>
      <c r="E67" s="307"/>
      <c r="F67" s="307"/>
      <c r="G67" s="307"/>
      <c r="H67" s="307"/>
      <c r="I67" s="307"/>
      <c r="J67" s="261"/>
      <c r="K67" s="261"/>
      <c r="L67" s="261"/>
      <c r="M67" s="261"/>
      <c r="N67" s="307"/>
      <c r="O67" s="261"/>
      <c r="P67" s="307"/>
      <c r="Q67" s="261"/>
      <c r="R67" s="261"/>
      <c r="S67" s="261"/>
      <c r="T67" s="261"/>
      <c r="U67" s="261"/>
      <c r="V67" s="307"/>
      <c r="W67" s="261"/>
      <c r="X67" s="313">
        <f t="shared" si="0"/>
        <v>0</v>
      </c>
      <c r="Y67" s="207" t="s">
        <v>205</v>
      </c>
      <c r="Z67" s="485"/>
      <c r="AA67" s="319"/>
      <c r="AB67" s="319"/>
      <c r="AC67" s="482"/>
      <c r="AD67" s="320">
        <f t="shared" si="7"/>
        <v>0</v>
      </c>
      <c r="AE67" s="321"/>
      <c r="AF67" s="320">
        <f t="shared" si="8"/>
        <v>0</v>
      </c>
      <c r="AG67" s="306"/>
      <c r="AH67" s="20">
        <f t="shared" si="6"/>
        <v>0</v>
      </c>
      <c r="AI67" s="309"/>
      <c r="AJ67" s="307"/>
      <c r="AK67" s="307"/>
      <c r="AL67" s="307"/>
      <c r="AM67" s="307"/>
      <c r="AN67" s="307"/>
      <c r="AO67" s="307"/>
      <c r="AP67" s="307"/>
      <c r="AQ67" s="306"/>
    </row>
    <row r="68" spans="1:43" ht="15" customHeight="1" x14ac:dyDescent="0.25">
      <c r="A68" s="261"/>
      <c r="B68" s="261"/>
      <c r="C68" s="307"/>
      <c r="D68" s="307"/>
      <c r="E68" s="307"/>
      <c r="F68" s="307"/>
      <c r="G68" s="307"/>
      <c r="H68" s="307"/>
      <c r="I68" s="307"/>
      <c r="J68" s="261"/>
      <c r="K68" s="261"/>
      <c r="L68" s="261"/>
      <c r="M68" s="261"/>
      <c r="N68" s="307"/>
      <c r="O68" s="261"/>
      <c r="P68" s="307"/>
      <c r="Q68" s="261"/>
      <c r="R68" s="15"/>
      <c r="S68" s="307"/>
      <c r="T68" s="261"/>
      <c r="U68" s="261"/>
      <c r="V68" s="307"/>
      <c r="W68" s="261"/>
      <c r="X68" s="313">
        <f t="shared" si="0"/>
        <v>0</v>
      </c>
      <c r="Y68" s="207" t="s">
        <v>206</v>
      </c>
      <c r="Z68" s="485"/>
      <c r="AA68" s="319"/>
      <c r="AB68" s="319">
        <v>100</v>
      </c>
      <c r="AC68" s="482"/>
      <c r="AD68" s="320">
        <f t="shared" si="7"/>
        <v>0</v>
      </c>
      <c r="AE68" s="17"/>
      <c r="AF68" s="320"/>
      <c r="AG68" s="306"/>
      <c r="AH68" s="20">
        <f t="shared" si="6"/>
        <v>0</v>
      </c>
      <c r="AI68" s="309"/>
      <c r="AJ68" s="307"/>
      <c r="AK68" s="307"/>
      <c r="AL68" s="307"/>
      <c r="AM68" s="307"/>
      <c r="AN68" s="307"/>
      <c r="AO68" s="307"/>
      <c r="AP68" s="307"/>
      <c r="AQ68" s="306"/>
    </row>
    <row r="69" spans="1:43" ht="15" customHeight="1" x14ac:dyDescent="0.25">
      <c r="A69" s="261"/>
      <c r="B69" s="261"/>
      <c r="C69" s="261"/>
      <c r="D69" s="261"/>
      <c r="E69" s="261"/>
      <c r="F69" s="261"/>
      <c r="G69" s="261"/>
      <c r="H69" s="261"/>
      <c r="I69" s="261"/>
      <c r="J69" s="261"/>
      <c r="K69" s="261"/>
      <c r="L69" s="261"/>
      <c r="M69" s="261"/>
      <c r="N69" s="261"/>
      <c r="O69" s="261"/>
      <c r="P69" s="261"/>
      <c r="Q69" s="261"/>
      <c r="R69" s="261"/>
      <c r="S69" s="261"/>
      <c r="T69" s="261"/>
      <c r="U69" s="261"/>
      <c r="V69" s="307"/>
      <c r="W69" s="261"/>
      <c r="X69" s="313">
        <f t="shared" si="0"/>
        <v>0</v>
      </c>
      <c r="Y69" s="323" t="s">
        <v>207</v>
      </c>
      <c r="Z69" s="485"/>
      <c r="AA69" s="319"/>
      <c r="AB69" s="319"/>
      <c r="AC69" s="494"/>
      <c r="AD69" s="320">
        <f>-AE69</f>
        <v>0</v>
      </c>
      <c r="AE69" s="482">
        <f>0+0+0+0</f>
        <v>0</v>
      </c>
      <c r="AF69" s="485"/>
      <c r="AG69" s="306"/>
      <c r="AH69" s="20">
        <f t="shared" si="6"/>
        <v>0</v>
      </c>
      <c r="AI69" s="309"/>
      <c r="AJ69" s="307"/>
      <c r="AK69" s="307"/>
      <c r="AL69" s="307"/>
      <c r="AM69" s="307"/>
      <c r="AN69" s="307">
        <f>AE69</f>
        <v>0</v>
      </c>
      <c r="AO69" s="307"/>
      <c r="AP69" s="307"/>
      <c r="AQ69" s="306"/>
    </row>
    <row r="70" spans="1:43" ht="15" customHeight="1" x14ac:dyDescent="0.25">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313">
        <f t="shared" si="0"/>
        <v>0</v>
      </c>
      <c r="Y70" s="323" t="s">
        <v>208</v>
      </c>
      <c r="Z70" s="485"/>
      <c r="AA70" s="319"/>
      <c r="AB70" s="319"/>
      <c r="AC70" s="482"/>
      <c r="AD70" s="320"/>
      <c r="AE70" s="482"/>
      <c r="AF70" s="485">
        <f>0-0-0-0</f>
        <v>0</v>
      </c>
      <c r="AG70" s="324"/>
      <c r="AH70" s="20">
        <f t="shared" si="6"/>
        <v>0</v>
      </c>
      <c r="AI70" s="309"/>
      <c r="AJ70" s="307"/>
      <c r="AK70" s="307"/>
      <c r="AL70" s="307"/>
      <c r="AM70" s="307"/>
      <c r="AN70" s="307">
        <f>-AF70</f>
        <v>0</v>
      </c>
      <c r="AO70" s="307"/>
      <c r="AP70" s="307"/>
      <c r="AQ70" s="306"/>
    </row>
    <row r="71" spans="1:43" ht="15" customHeight="1" x14ac:dyDescent="0.25">
      <c r="A71" s="261"/>
      <c r="B71" s="261"/>
      <c r="C71" s="261"/>
      <c r="D71" s="261"/>
      <c r="E71" s="261"/>
      <c r="F71" s="261"/>
      <c r="G71" s="261"/>
      <c r="H71" s="261"/>
      <c r="I71" s="261"/>
      <c r="J71" s="261"/>
      <c r="K71" s="261"/>
      <c r="L71" s="261"/>
      <c r="M71" s="261"/>
      <c r="N71" s="261"/>
      <c r="O71" s="261"/>
      <c r="P71" s="307"/>
      <c r="Q71" s="261"/>
      <c r="R71" s="261"/>
      <c r="S71" s="261"/>
      <c r="T71" s="261"/>
      <c r="U71" s="261"/>
      <c r="V71" s="261"/>
      <c r="W71" s="261"/>
      <c r="X71" s="313">
        <f t="shared" si="0"/>
        <v>0</v>
      </c>
      <c r="Y71" s="207" t="s">
        <v>209</v>
      </c>
      <c r="Z71" s="486"/>
      <c r="AA71" s="492"/>
      <c r="AB71" s="492"/>
      <c r="AC71" s="17">
        <f>100-22.83</f>
        <v>77.17</v>
      </c>
      <c r="AD71" s="260"/>
      <c r="AE71" s="306"/>
      <c r="AF71" s="260">
        <f>-SUM(AF63:AF70)</f>
        <v>0</v>
      </c>
      <c r="AG71" s="306">
        <f>-AF71*AC71/100</f>
        <v>0</v>
      </c>
      <c r="AH71" s="20">
        <f t="shared" si="6"/>
        <v>0</v>
      </c>
      <c r="AI71" s="16">
        <f>AG71*65.2%</f>
        <v>0</v>
      </c>
      <c r="AJ71" s="16">
        <f>AG71*9.9%</f>
        <v>0</v>
      </c>
      <c r="AK71" s="15">
        <f>AG71*13.3%</f>
        <v>0</v>
      </c>
      <c r="AL71" s="15">
        <f>AG71*7%</f>
        <v>0</v>
      </c>
      <c r="AM71" s="15">
        <f>AG71*0%</f>
        <v>0</v>
      </c>
      <c r="AN71" s="15">
        <f>AG71*3.2%</f>
        <v>0</v>
      </c>
      <c r="AO71" s="15">
        <f>AG71*1.5%</f>
        <v>0</v>
      </c>
      <c r="AP71" s="15"/>
      <c r="AQ71" s="306"/>
    </row>
    <row r="72" spans="1:43" ht="15" customHeight="1" x14ac:dyDescent="0.25">
      <c r="A72" s="260"/>
      <c r="B72" s="261"/>
      <c r="C72" s="261"/>
      <c r="D72" s="261"/>
      <c r="E72" s="261"/>
      <c r="F72" s="319"/>
      <c r="G72" s="319"/>
      <c r="H72" s="15">
        <f>1027.7*(100%-3.1%)</f>
        <v>995.84130000000005</v>
      </c>
      <c r="I72" s="319"/>
      <c r="J72" s="319"/>
      <c r="K72" s="319"/>
      <c r="L72" s="319"/>
      <c r="M72" s="319"/>
      <c r="N72" s="319"/>
      <c r="O72" s="319"/>
      <c r="P72" s="15">
        <f>1027.7*3.1%</f>
        <v>31.858700000000002</v>
      </c>
      <c r="Q72" s="261"/>
      <c r="R72" s="261"/>
      <c r="S72" s="261"/>
      <c r="T72" s="261"/>
      <c r="U72" s="261"/>
      <c r="V72" s="261"/>
      <c r="W72" s="261"/>
      <c r="X72" s="313">
        <f t="shared" si="0"/>
        <v>1027.7</v>
      </c>
      <c r="Y72" s="207" t="s">
        <v>210</v>
      </c>
      <c r="Z72" s="260"/>
      <c r="AA72" s="261">
        <v>20</v>
      </c>
      <c r="AB72" s="261"/>
      <c r="AC72" s="306"/>
      <c r="AD72" s="260"/>
      <c r="AE72" s="306"/>
      <c r="AF72" s="260"/>
      <c r="AG72" s="306"/>
      <c r="AH72" s="20">
        <f t="shared" si="6"/>
        <v>205.54</v>
      </c>
      <c r="AI72" s="318"/>
      <c r="AJ72" s="261"/>
      <c r="AK72" s="261"/>
      <c r="AL72" s="261"/>
      <c r="AM72" s="261"/>
      <c r="AN72" s="261"/>
      <c r="AO72" s="261"/>
      <c r="AP72" s="261"/>
      <c r="AQ72" s="306">
        <f>X72*AA72/100</f>
        <v>205.54</v>
      </c>
    </row>
    <row r="73" spans="1:43" ht="15" customHeight="1" x14ac:dyDescent="0.25">
      <c r="A73" s="260"/>
      <c r="B73" s="261"/>
      <c r="C73" s="261"/>
      <c r="D73" s="261"/>
      <c r="E73" s="261"/>
      <c r="F73" s="15">
        <f>813.1*(100%-6.7%)</f>
        <v>758.62230000000011</v>
      </c>
      <c r="G73" s="319"/>
      <c r="H73" s="319"/>
      <c r="I73" s="319"/>
      <c r="J73" s="319"/>
      <c r="K73" s="319"/>
      <c r="L73" s="319"/>
      <c r="M73" s="319"/>
      <c r="N73" s="319"/>
      <c r="O73" s="319"/>
      <c r="P73" s="15">
        <f>813.1*6.7%</f>
        <v>54.477700000000006</v>
      </c>
      <c r="Q73" s="261"/>
      <c r="R73" s="261"/>
      <c r="S73" s="261"/>
      <c r="T73" s="261"/>
      <c r="U73" s="261"/>
      <c r="V73" s="261"/>
      <c r="W73" s="261"/>
      <c r="X73" s="313">
        <f t="shared" si="0"/>
        <v>813.10000000000014</v>
      </c>
      <c r="Y73" s="207" t="s">
        <v>211</v>
      </c>
      <c r="Z73" s="260"/>
      <c r="AA73" s="261">
        <v>25</v>
      </c>
      <c r="AB73" s="261"/>
      <c r="AC73" s="306"/>
      <c r="AD73" s="260"/>
      <c r="AE73" s="306"/>
      <c r="AF73" s="260"/>
      <c r="AG73" s="306"/>
      <c r="AH73" s="20">
        <f t="shared" si="6"/>
        <v>203.27500000000003</v>
      </c>
      <c r="AI73" s="318"/>
      <c r="AJ73" s="261"/>
      <c r="AK73" s="261"/>
      <c r="AL73" s="261"/>
      <c r="AM73" s="261"/>
      <c r="AN73" s="261"/>
      <c r="AO73" s="261"/>
      <c r="AP73" s="261"/>
      <c r="AQ73" s="306">
        <f>X73*AA73/100</f>
        <v>203.27500000000003</v>
      </c>
    </row>
    <row r="74" spans="1:43" ht="15" customHeight="1" x14ac:dyDescent="0.25">
      <c r="A74" s="260"/>
      <c r="B74" s="261"/>
      <c r="C74" s="261"/>
      <c r="D74" s="261"/>
      <c r="E74" s="261"/>
      <c r="F74" s="15">
        <f>327*(100%-6.7%)</f>
        <v>305.09100000000001</v>
      </c>
      <c r="G74" s="319"/>
      <c r="H74" s="319"/>
      <c r="I74" s="319"/>
      <c r="J74" s="319"/>
      <c r="K74" s="319"/>
      <c r="L74" s="319"/>
      <c r="M74" s="319"/>
      <c r="N74" s="319"/>
      <c r="O74" s="319"/>
      <c r="P74" s="15">
        <f>327*6.7%</f>
        <v>21.909000000000002</v>
      </c>
      <c r="Q74" s="261"/>
      <c r="R74" s="261"/>
      <c r="S74" s="261"/>
      <c r="T74" s="261"/>
      <c r="U74" s="261"/>
      <c r="V74" s="261"/>
      <c r="W74" s="261"/>
      <c r="X74" s="313">
        <f t="shared" si="0"/>
        <v>327</v>
      </c>
      <c r="Y74" s="207" t="s">
        <v>212</v>
      </c>
      <c r="Z74" s="260"/>
      <c r="AA74" s="261">
        <v>25</v>
      </c>
      <c r="AB74" s="261"/>
      <c r="AC74" s="306"/>
      <c r="AD74" s="260"/>
      <c r="AE74" s="306"/>
      <c r="AF74" s="260"/>
      <c r="AG74" s="306"/>
      <c r="AH74" s="20">
        <f t="shared" si="6"/>
        <v>81.75</v>
      </c>
      <c r="AI74" s="318"/>
      <c r="AJ74" s="261"/>
      <c r="AK74" s="261"/>
      <c r="AL74" s="261"/>
      <c r="AM74" s="261"/>
      <c r="AN74" s="261"/>
      <c r="AO74" s="261"/>
      <c r="AP74" s="261"/>
      <c r="AQ74" s="306">
        <f>X74*AA74/100</f>
        <v>81.75</v>
      </c>
    </row>
    <row r="75" spans="1:43" ht="15" customHeight="1" x14ac:dyDescent="0.25">
      <c r="A75" s="260"/>
      <c r="B75" s="261"/>
      <c r="C75" s="261"/>
      <c r="D75" s="261"/>
      <c r="E75" s="261"/>
      <c r="F75" s="15">
        <f>112.7*(100%-6.7%)</f>
        <v>105.1491</v>
      </c>
      <c r="G75" s="319"/>
      <c r="H75" s="319"/>
      <c r="I75" s="319"/>
      <c r="J75" s="319"/>
      <c r="K75" s="319"/>
      <c r="L75" s="319"/>
      <c r="M75" s="319"/>
      <c r="N75" s="319"/>
      <c r="O75" s="319"/>
      <c r="P75" s="15">
        <f>112.7*6.7%</f>
        <v>7.5509000000000004</v>
      </c>
      <c r="Q75" s="261"/>
      <c r="R75" s="261"/>
      <c r="S75" s="261"/>
      <c r="T75" s="261"/>
      <c r="U75" s="261"/>
      <c r="V75" s="261"/>
      <c r="W75" s="261"/>
      <c r="X75" s="313">
        <f t="shared" si="0"/>
        <v>112.7</v>
      </c>
      <c r="Y75" s="207" t="s">
        <v>213</v>
      </c>
      <c r="Z75" s="260"/>
      <c r="AA75" s="261">
        <v>33</v>
      </c>
      <c r="AB75" s="261"/>
      <c r="AC75" s="306"/>
      <c r="AD75" s="260"/>
      <c r="AE75" s="306"/>
      <c r="AF75" s="260"/>
      <c r="AG75" s="306"/>
      <c r="AH75" s="20">
        <f t="shared" si="6"/>
        <v>37.191000000000003</v>
      </c>
      <c r="AI75" s="318"/>
      <c r="AJ75" s="261"/>
      <c r="AK75" s="261"/>
      <c r="AL75" s="261"/>
      <c r="AM75" s="261"/>
      <c r="AN75" s="261"/>
      <c r="AO75" s="261"/>
      <c r="AP75" s="261"/>
      <c r="AQ75" s="306">
        <f>X75*AA75/100</f>
        <v>37.191000000000003</v>
      </c>
    </row>
    <row r="76" spans="1:43" ht="15" customHeight="1" x14ac:dyDescent="0.25">
      <c r="A76" s="260"/>
      <c r="B76" s="261"/>
      <c r="C76" s="261"/>
      <c r="D76" s="261"/>
      <c r="E76" s="261"/>
      <c r="F76" s="15">
        <f>280.3*(100%-6.7%)</f>
        <v>261.51990000000001</v>
      </c>
      <c r="G76" s="319"/>
      <c r="H76" s="319"/>
      <c r="I76" s="319"/>
      <c r="J76" s="319"/>
      <c r="K76" s="319"/>
      <c r="L76" s="319"/>
      <c r="M76" s="319"/>
      <c r="N76" s="319"/>
      <c r="O76" s="319"/>
      <c r="P76" s="15">
        <f>280.3*6.7%</f>
        <v>18.780100000000001</v>
      </c>
      <c r="Q76" s="261"/>
      <c r="R76" s="261"/>
      <c r="S76" s="261"/>
      <c r="T76" s="261"/>
      <c r="U76" s="261"/>
      <c r="V76" s="261"/>
      <c r="W76" s="261"/>
      <c r="X76" s="306">
        <f>SUM(A76:W76)</f>
        <v>280.3</v>
      </c>
      <c r="Y76" s="207" t="s">
        <v>214</v>
      </c>
      <c r="Z76" s="260"/>
      <c r="AA76" s="261">
        <v>33</v>
      </c>
      <c r="AB76" s="261"/>
      <c r="AC76" s="306"/>
      <c r="AD76" s="260"/>
      <c r="AE76" s="306"/>
      <c r="AF76" s="260"/>
      <c r="AG76" s="306"/>
      <c r="AH76" s="20">
        <f t="shared" si="6"/>
        <v>92.498999999999995</v>
      </c>
      <c r="AI76" s="318"/>
      <c r="AJ76" s="261"/>
      <c r="AK76" s="261"/>
      <c r="AL76" s="261"/>
      <c r="AM76" s="261"/>
      <c r="AN76" s="261"/>
      <c r="AO76" s="261"/>
      <c r="AP76" s="261"/>
      <c r="AQ76" s="306">
        <f>X76*AA76/100</f>
        <v>92.498999999999995</v>
      </c>
    </row>
    <row r="77" spans="1:43" ht="15" customHeight="1" x14ac:dyDescent="0.25">
      <c r="A77" s="260"/>
      <c r="B77" s="261"/>
      <c r="C77" s="261"/>
      <c r="D77" s="261"/>
      <c r="E77" s="261"/>
      <c r="F77" s="15">
        <v>266.8</v>
      </c>
      <c r="G77" s="319"/>
      <c r="H77" s="319"/>
      <c r="I77" s="319"/>
      <c r="J77" s="319"/>
      <c r="K77" s="319"/>
      <c r="L77" s="319"/>
      <c r="M77" s="319"/>
      <c r="N77" s="319"/>
      <c r="O77" s="319"/>
      <c r="P77" s="319"/>
      <c r="Q77" s="261"/>
      <c r="R77" s="261"/>
      <c r="S77" s="261"/>
      <c r="T77" s="261"/>
      <c r="U77" s="261"/>
      <c r="V77" s="261"/>
      <c r="W77" s="261"/>
      <c r="X77" s="306">
        <f>SUM(A77:W77)</f>
        <v>266.8</v>
      </c>
      <c r="Y77" s="207" t="s">
        <v>215</v>
      </c>
      <c r="Z77" s="260"/>
      <c r="AA77" s="261">
        <v>33</v>
      </c>
      <c r="AB77" s="261"/>
      <c r="AC77" s="306"/>
      <c r="AD77" s="260"/>
      <c r="AE77" s="306"/>
      <c r="AF77" s="260"/>
      <c r="AG77" s="306"/>
      <c r="AH77" s="20">
        <f t="shared" si="6"/>
        <v>88.044000000000011</v>
      </c>
      <c r="AI77" s="318"/>
      <c r="AJ77" s="261"/>
      <c r="AK77" s="261"/>
      <c r="AL77" s="261"/>
      <c r="AM77" s="261"/>
      <c r="AN77" s="261"/>
      <c r="AO77" s="261"/>
      <c r="AP77" s="261">
        <f>X77*AA77%</f>
        <v>88.044000000000011</v>
      </c>
      <c r="AQ77" s="306"/>
    </row>
    <row r="78" spans="1:43" ht="15" customHeight="1" x14ac:dyDescent="0.25">
      <c r="A78" s="247"/>
      <c r="B78" s="248"/>
      <c r="C78" s="248"/>
      <c r="D78" s="325"/>
      <c r="E78" s="325"/>
      <c r="F78" s="23">
        <v>51.5</v>
      </c>
      <c r="G78" s="325"/>
      <c r="H78" s="325"/>
      <c r="I78" s="325"/>
      <c r="J78" s="325"/>
      <c r="K78" s="248"/>
      <c r="L78" s="248"/>
      <c r="M78" s="248"/>
      <c r="N78" s="248"/>
      <c r="O78" s="248"/>
      <c r="P78" s="248"/>
      <c r="Q78" s="248"/>
      <c r="R78" s="248"/>
      <c r="S78" s="248"/>
      <c r="T78" s="248"/>
      <c r="U78" s="248"/>
      <c r="V78" s="248"/>
      <c r="W78" s="248"/>
      <c r="X78" s="306">
        <f>SUM(A78:W78)</f>
        <v>51.5</v>
      </c>
      <c r="Y78" s="219" t="s">
        <v>216</v>
      </c>
      <c r="Z78" s="247"/>
      <c r="AA78" s="261">
        <v>33</v>
      </c>
      <c r="AB78" s="248"/>
      <c r="AC78" s="327"/>
      <c r="AD78" s="260">
        <f>-AE78/$D$2%</f>
        <v>0</v>
      </c>
      <c r="AE78" s="326"/>
      <c r="AF78" s="247"/>
      <c r="AG78" s="327"/>
      <c r="AH78" s="20">
        <f t="shared" si="6"/>
        <v>16.995000000000001</v>
      </c>
      <c r="AI78" s="328"/>
      <c r="AJ78" s="248"/>
      <c r="AK78" s="248"/>
      <c r="AL78" s="248"/>
      <c r="AM78" s="248"/>
      <c r="AN78" s="248"/>
      <c r="AO78" s="248"/>
      <c r="AP78" s="248"/>
      <c r="AQ78" s="306">
        <f>X78*AA78/100+AE78*AA78%</f>
        <v>16.995000000000001</v>
      </c>
    </row>
    <row r="79" spans="1:43" ht="15" customHeight="1" x14ac:dyDescent="0.25">
      <c r="A79" s="247"/>
      <c r="B79" s="248"/>
      <c r="C79" s="248"/>
      <c r="D79" s="325"/>
      <c r="E79" s="325"/>
      <c r="F79" s="325"/>
      <c r="G79" s="23">
        <v>760.2</v>
      </c>
      <c r="H79" s="15">
        <v>0.8</v>
      </c>
      <c r="I79" s="325"/>
      <c r="J79" s="325"/>
      <c r="K79" s="248"/>
      <c r="L79" s="248"/>
      <c r="M79" s="248"/>
      <c r="N79" s="248"/>
      <c r="O79" s="248"/>
      <c r="P79" s="248"/>
      <c r="Q79" s="248"/>
      <c r="R79" s="248"/>
      <c r="S79" s="248"/>
      <c r="T79" s="248"/>
      <c r="U79" s="248"/>
      <c r="V79" s="248"/>
      <c r="W79" s="248"/>
      <c r="X79" s="306">
        <f>SUM(A79:W79)</f>
        <v>761</v>
      </c>
      <c r="Y79" s="219" t="s">
        <v>217</v>
      </c>
      <c r="Z79" s="247"/>
      <c r="AA79" s="261">
        <v>33</v>
      </c>
      <c r="AB79" s="248"/>
      <c r="AC79" s="327"/>
      <c r="AD79" s="247"/>
      <c r="AE79" s="327"/>
      <c r="AF79" s="247"/>
      <c r="AG79" s="327"/>
      <c r="AH79" s="20">
        <f t="shared" si="6"/>
        <v>251.13</v>
      </c>
      <c r="AI79" s="328"/>
      <c r="AJ79" s="248"/>
      <c r="AK79" s="248"/>
      <c r="AL79" s="248"/>
      <c r="AM79" s="248"/>
      <c r="AN79" s="248"/>
      <c r="AO79" s="248"/>
      <c r="AP79" s="248"/>
      <c r="AQ79" s="306">
        <f>X79*AA79/100</f>
        <v>251.13</v>
      </c>
    </row>
    <row r="80" spans="1:43" ht="15" customHeight="1" thickBot="1" x14ac:dyDescent="0.3">
      <c r="A80" s="247"/>
      <c r="B80" s="248"/>
      <c r="C80" s="248"/>
      <c r="D80" s="23">
        <v>0.1</v>
      </c>
      <c r="E80" s="325"/>
      <c r="F80" s="23">
        <v>108.6</v>
      </c>
      <c r="G80" s="325"/>
      <c r="H80" s="325"/>
      <c r="I80" s="325"/>
      <c r="J80" s="325"/>
      <c r="K80" s="248"/>
      <c r="L80" s="248"/>
      <c r="M80" s="248"/>
      <c r="N80" s="248"/>
      <c r="O80" s="248"/>
      <c r="P80" s="248"/>
      <c r="Q80" s="248"/>
      <c r="R80" s="248"/>
      <c r="S80" s="248"/>
      <c r="T80" s="248"/>
      <c r="U80" s="248"/>
      <c r="V80" s="248"/>
      <c r="W80" s="248"/>
      <c r="X80" s="327">
        <f t="shared" si="0"/>
        <v>108.69999999999999</v>
      </c>
      <c r="Y80" s="208" t="s">
        <v>218</v>
      </c>
      <c r="Z80" s="267"/>
      <c r="AA80" s="261">
        <v>33</v>
      </c>
      <c r="AB80" s="268"/>
      <c r="AC80" s="329"/>
      <c r="AD80" s="267"/>
      <c r="AE80" s="329"/>
      <c r="AF80" s="267"/>
      <c r="AG80" s="329"/>
      <c r="AH80" s="24">
        <f t="shared" si="6"/>
        <v>35.870999999999995</v>
      </c>
      <c r="AI80" s="330"/>
      <c r="AJ80" s="268"/>
      <c r="AK80" s="268"/>
      <c r="AL80" s="268"/>
      <c r="AM80" s="268"/>
      <c r="AN80" s="268"/>
      <c r="AO80" s="268"/>
      <c r="AP80" s="268"/>
      <c r="AQ80" s="306">
        <f>X80*AA80/100</f>
        <v>35.870999999999995</v>
      </c>
    </row>
    <row r="81" spans="1:44" ht="15" customHeight="1" thickBot="1" x14ac:dyDescent="0.3">
      <c r="A81" s="331">
        <f t="shared" ref="A81:W81" si="9">SUM(A8:A80)</f>
        <v>-130.94872402022855</v>
      </c>
      <c r="B81" s="332">
        <f t="shared" si="9"/>
        <v>43</v>
      </c>
      <c r="C81" s="332">
        <f t="shared" si="9"/>
        <v>9.3000000000000007</v>
      </c>
      <c r="D81" s="332">
        <f t="shared" si="9"/>
        <v>0.1</v>
      </c>
      <c r="E81" s="332">
        <f t="shared" si="9"/>
        <v>184.7</v>
      </c>
      <c r="F81" s="332">
        <f t="shared" si="9"/>
        <v>1857.2823000000001</v>
      </c>
      <c r="G81" s="332">
        <f t="shared" si="9"/>
        <v>760.2</v>
      </c>
      <c r="H81" s="332">
        <f t="shared" si="9"/>
        <v>996.6413</v>
      </c>
      <c r="I81" s="332">
        <f t="shared" si="9"/>
        <v>1238.4999999999998</v>
      </c>
      <c r="J81" s="332">
        <f t="shared" si="9"/>
        <v>1209.5999999999999</v>
      </c>
      <c r="K81" s="332">
        <f t="shared" si="9"/>
        <v>0</v>
      </c>
      <c r="L81" s="332">
        <f t="shared" si="9"/>
        <v>73.099999999999994</v>
      </c>
      <c r="M81" s="332">
        <f t="shared" si="9"/>
        <v>0</v>
      </c>
      <c r="N81" s="332">
        <f t="shared" si="9"/>
        <v>18</v>
      </c>
      <c r="O81" s="332">
        <f t="shared" si="9"/>
        <v>3.496</v>
      </c>
      <c r="P81" s="332">
        <f t="shared" si="9"/>
        <v>156.77640000000002</v>
      </c>
      <c r="Q81" s="332">
        <f t="shared" si="9"/>
        <v>191</v>
      </c>
      <c r="R81" s="332">
        <f t="shared" si="9"/>
        <v>2277.4</v>
      </c>
      <c r="S81" s="332">
        <f t="shared" si="9"/>
        <v>989.6</v>
      </c>
      <c r="T81" s="332">
        <f t="shared" si="9"/>
        <v>4.1040000000000001</v>
      </c>
      <c r="U81" s="332">
        <f t="shared" si="9"/>
        <v>0</v>
      </c>
      <c r="V81" s="332">
        <f t="shared" si="9"/>
        <v>23.1</v>
      </c>
      <c r="W81" s="332">
        <f t="shared" si="9"/>
        <v>0</v>
      </c>
      <c r="X81" s="333">
        <f>SUM(X8:X80)</f>
        <v>9904.9512759797726</v>
      </c>
      <c r="Y81" s="25" t="s">
        <v>30</v>
      </c>
      <c r="Z81" s="334"/>
      <c r="AA81" s="334"/>
      <c r="AB81" s="334"/>
      <c r="AC81" s="334"/>
      <c r="AD81" s="331">
        <f t="shared" ref="AD81:AQ81" si="10">SUM(AD8:AD80)</f>
        <v>-2.8066438062523957E-13</v>
      </c>
      <c r="AE81" s="333">
        <f t="shared" si="10"/>
        <v>1523.7080781374202</v>
      </c>
      <c r="AF81" s="331">
        <f t="shared" si="10"/>
        <v>0</v>
      </c>
      <c r="AG81" s="333">
        <f t="shared" si="10"/>
        <v>1768.3889806600005</v>
      </c>
      <c r="AH81" s="25">
        <f t="shared" si="10"/>
        <v>5808.5266678837306</v>
      </c>
      <c r="AI81" s="335">
        <f t="shared" si="10"/>
        <v>2741.6202714464098</v>
      </c>
      <c r="AJ81" s="332">
        <f t="shared" si="10"/>
        <v>302.20802602089975</v>
      </c>
      <c r="AK81" s="332">
        <f t="shared" si="10"/>
        <v>335.96189547467196</v>
      </c>
      <c r="AL81" s="332">
        <f t="shared" si="10"/>
        <v>270.50695074487504</v>
      </c>
      <c r="AM81" s="332">
        <f t="shared" si="10"/>
        <v>12.772946267896687</v>
      </c>
      <c r="AN81" s="332">
        <f t="shared" si="10"/>
        <v>1030.1969874309311</v>
      </c>
      <c r="AO81" s="332">
        <f t="shared" si="10"/>
        <v>27.550889742567819</v>
      </c>
      <c r="AP81" s="332">
        <f t="shared" si="10"/>
        <v>159.18970075547767</v>
      </c>
      <c r="AQ81" s="333">
        <f t="shared" si="10"/>
        <v>928.51900000000001</v>
      </c>
    </row>
    <row r="82" spans="1:44" ht="15" customHeight="1" x14ac:dyDescent="0.25">
      <c r="A82" s="310">
        <f t="shared" ref="A82:V82" si="11">A81*A89/1000</f>
        <v>-16.253355625390768</v>
      </c>
      <c r="B82" s="311">
        <f t="shared" si="11"/>
        <v>2.7133000000000003</v>
      </c>
      <c r="C82" s="311">
        <f t="shared" si="11"/>
        <v>0.88303500000000013</v>
      </c>
      <c r="D82" s="311">
        <f t="shared" si="11"/>
        <v>7.8840000000000004E-3</v>
      </c>
      <c r="E82" s="311">
        <f t="shared" si="11"/>
        <v>13.6678</v>
      </c>
      <c r="F82" s="311">
        <f t="shared" si="11"/>
        <v>137.4388902</v>
      </c>
      <c r="G82" s="311">
        <f t="shared" si="11"/>
        <v>54.734400000000001</v>
      </c>
      <c r="H82" s="311">
        <f t="shared" si="11"/>
        <v>72.7548149</v>
      </c>
      <c r="I82" s="311">
        <f t="shared" si="11"/>
        <v>70.594499999999982</v>
      </c>
      <c r="J82" s="311">
        <f t="shared" si="11"/>
        <v>0</v>
      </c>
      <c r="K82" s="311">
        <f t="shared" si="11"/>
        <v>0</v>
      </c>
      <c r="L82" s="311">
        <f t="shared" si="11"/>
        <v>0</v>
      </c>
      <c r="M82" s="311">
        <f t="shared" si="11"/>
        <v>0</v>
      </c>
      <c r="N82" s="311">
        <v>0</v>
      </c>
      <c r="O82" s="311">
        <f t="shared" si="11"/>
        <v>0</v>
      </c>
      <c r="P82" s="311">
        <f t="shared" si="11"/>
        <v>0</v>
      </c>
      <c r="Q82" s="311">
        <f t="shared" si="11"/>
        <v>0</v>
      </c>
      <c r="R82" s="311">
        <f t="shared" si="11"/>
        <v>0</v>
      </c>
      <c r="S82" s="311">
        <f t="shared" si="11"/>
        <v>0</v>
      </c>
      <c r="T82" s="311">
        <f t="shared" si="11"/>
        <v>0</v>
      </c>
      <c r="U82" s="311">
        <f t="shared" si="11"/>
        <v>0</v>
      </c>
      <c r="V82" s="311">
        <f t="shared" si="11"/>
        <v>0</v>
      </c>
      <c r="W82" s="311">
        <f>W81*W89/1000</f>
        <v>0</v>
      </c>
      <c r="X82" s="313">
        <f>SUM(A82:W82)</f>
        <v>336.54126847460918</v>
      </c>
      <c r="Y82" s="26" t="s">
        <v>382</v>
      </c>
      <c r="Z82" s="336">
        <f>X82*1000/D1</f>
        <v>3.4248335467827729</v>
      </c>
      <c r="AA82" s="337" t="s">
        <v>219</v>
      </c>
      <c r="AB82" s="337"/>
      <c r="AC82" s="338"/>
      <c r="AD82" s="22"/>
      <c r="AE82" s="22"/>
      <c r="AF82" s="22"/>
      <c r="AG82" s="22"/>
      <c r="AH82" s="22"/>
      <c r="AI82" s="22"/>
      <c r="AJ82" s="22"/>
      <c r="AK82" s="22"/>
      <c r="AL82" s="22"/>
      <c r="AM82" s="22"/>
      <c r="AN82" s="22"/>
      <c r="AO82" s="22"/>
      <c r="AP82" s="22"/>
      <c r="AQ82" s="22"/>
    </row>
    <row r="83" spans="1:44" ht="15" customHeight="1" x14ac:dyDescent="0.25">
      <c r="A83" s="260"/>
      <c r="B83" s="261"/>
      <c r="C83" s="261"/>
      <c r="D83" s="261"/>
      <c r="E83" s="261"/>
      <c r="F83" s="261"/>
      <c r="G83" s="261"/>
      <c r="H83" s="261"/>
      <c r="I83" s="261"/>
      <c r="J83" s="261"/>
      <c r="K83" s="261"/>
      <c r="L83" s="261"/>
      <c r="M83" s="261"/>
      <c r="N83" s="261"/>
      <c r="O83" s="15">
        <v>263</v>
      </c>
      <c r="P83" s="15">
        <v>956</v>
      </c>
      <c r="Q83" s="15">
        <v>946</v>
      </c>
      <c r="R83" s="15">
        <v>438</v>
      </c>
      <c r="S83" s="261"/>
      <c r="T83" s="261"/>
      <c r="U83" s="261"/>
      <c r="V83" s="261"/>
      <c r="W83" s="261"/>
      <c r="X83" s="306">
        <f>SUM(A83:W83)</f>
        <v>2603</v>
      </c>
      <c r="Y83" s="20" t="s">
        <v>220</v>
      </c>
      <c r="Z83" s="27">
        <f>(SUM(J14:V14)+AD15*A87%+SUM(J19:V19)+SUM(J20:V20)+SUM(J21:V21)+SUM(J22:V22)+SUM(J25:V25)+SUM(J72:V72)+SUM(J73:V73)+SUM(J74:V74)+SUM(J75:V75)+SUM(J76:V76)+SUM(J77:V77)+SUM(J78:V78)+SUM(J79:V79)+SUM(J80:V80)+SUM(J26:V26)*(Z26%+AB26%)+SUM(J27:V27)*(Z27%+AB27%)+SUM(J28:V28)*(Z28%+AB28%)+SUM(J29:V29)*(Z29%+AB29%)+SUM(J30:V30)*(Z30%+AB30%)+SUM(J32:V32)*(Z32%+AA32%+AB32%)+SUM(J31:V31)*(AA31%)+SUM(J33:V33)*(Z33%+AB33%)+SUM(J34:V34)*(Z34%+AB34%)+SUM(J35:V35)*(Z35%+AB35%)+SUM(J36:V36)*(Z36%+AB36%)+SUM(J37:V37)+SUM(J40:V40)*(Z40%+AB40%)+SUM(J41:V41)*(Z41%+AB41%)+SUM(J42:V42)*(Z42%+AB42%)+SUM(J44:V44)*(Z44%+AB44%)+SUM(J45:V45)*(Z45%+AB45%)+SUM(J46:V46)*(Z46%+AB46%)+SUM(J47:V47)*(Z47%+AB47%)+SUM(J48:V48)+SUM(J50:V50)*(Z50%+AB50%)+SUM(J51:V51)*(Z51%+AB51%)+SUM(J53:V53)*(Z53%+AA53%+AB53%)+SUM(J54:V54)*(Z54%+AA54%+AB54%)+SUM(J56:V56)*(Z56%+AB56%)+SUM(J57:V57)+SUM(J59:V59)*(Z59%+AB59%)+SUM(J60:V60)*(Z60%+AB60%)+SUM(J61:V61)*(Z61%+AB61%)+SUM(J63:V63)*(Z63%+AB63%)+SUM(J64:V64)*(Z64%+AB64%)+SUM(J65:V65)*(Z65%+AB65%)+SUM(J66:V66)*(Z66%+AB66%)+SUM(J67:V67)*(Z67%+AB67%)+SUM(J68:V68)*(Z68%+AB68%))/(SUM(X8:X14)+SUM(X16:X25)+X32*AA32%+X53*AA53%+X54*AA54%+SUM(X72:X80)+(AG39/AC39%+AG43/AC43%+AG52/AC52%+AG55/AC55%+AG62/AC62%+AG71/AC71%)+AE81+SUM(AE8:AE14)*(1-D2%)+(-AF70))*100</f>
        <v>49.24766476933678</v>
      </c>
      <c r="AA83" s="495" t="s">
        <v>221</v>
      </c>
      <c r="AB83" s="495"/>
      <c r="AC83" s="496"/>
      <c r="AD83" s="22"/>
      <c r="AE83" s="22"/>
      <c r="AF83" s="22"/>
      <c r="AG83" s="22"/>
      <c r="AH83" s="22"/>
      <c r="AI83" s="22"/>
      <c r="AJ83" s="22"/>
      <c r="AK83" s="22"/>
      <c r="AL83" s="22"/>
      <c r="AM83" s="22"/>
      <c r="AN83" s="22"/>
      <c r="AO83" s="22"/>
      <c r="AP83" s="22"/>
      <c r="AQ83" s="22"/>
    </row>
    <row r="84" spans="1:44" ht="15" customHeight="1" thickBot="1" x14ac:dyDescent="0.3">
      <c r="A84" s="267"/>
      <c r="B84" s="268"/>
      <c r="C84" s="268"/>
      <c r="D84" s="268"/>
      <c r="E84" s="268"/>
      <c r="F84" s="268"/>
      <c r="G84" s="268"/>
      <c r="H84" s="268"/>
      <c r="I84" s="268"/>
      <c r="J84" s="268" t="str">
        <f>IF(J83&gt;0,J81/J83*100,"")</f>
        <v/>
      </c>
      <c r="K84" s="268" t="str">
        <f t="shared" ref="K84:W84" si="12">IF(K83&gt;0,K81/K83*100,"")</f>
        <v/>
      </c>
      <c r="L84" s="268" t="str">
        <f t="shared" si="12"/>
        <v/>
      </c>
      <c r="M84" s="268" t="str">
        <f t="shared" si="12"/>
        <v/>
      </c>
      <c r="N84" s="268" t="str">
        <f t="shared" si="12"/>
        <v/>
      </c>
      <c r="O84" s="268">
        <f t="shared" si="12"/>
        <v>1.3292775665399239</v>
      </c>
      <c r="P84" s="268">
        <f t="shared" si="12"/>
        <v>16.399205020920505</v>
      </c>
      <c r="Q84" s="268">
        <f t="shared" si="12"/>
        <v>20.190274841437635</v>
      </c>
      <c r="R84" s="268">
        <f t="shared" si="12"/>
        <v>519.95433789954348</v>
      </c>
      <c r="S84" s="268" t="str">
        <f t="shared" si="12"/>
        <v/>
      </c>
      <c r="T84" s="268" t="str">
        <f t="shared" si="12"/>
        <v/>
      </c>
      <c r="U84" s="268" t="str">
        <f t="shared" si="12"/>
        <v/>
      </c>
      <c r="V84" s="268" t="str">
        <f>IF(V83&gt;0,V81/V83*100,"")</f>
        <v/>
      </c>
      <c r="W84" s="268" t="str">
        <f t="shared" si="12"/>
        <v/>
      </c>
      <c r="X84" s="329">
        <f>SUMIF(J83:W83,"&gt;0",J81:W81)/SUM(J83:W83)%</f>
        <v>100.98626200537842</v>
      </c>
      <c r="Y84" s="24" t="s">
        <v>222</v>
      </c>
      <c r="Z84" s="505">
        <f>SUM(J81:V81)/X81*100</f>
        <v>49.936403140062268</v>
      </c>
      <c r="AA84" s="497" t="s">
        <v>223</v>
      </c>
      <c r="AB84" s="497"/>
      <c r="AC84" s="498"/>
      <c r="AD84" s="22"/>
      <c r="AE84" s="22"/>
      <c r="AF84" s="22"/>
      <c r="AG84" s="22"/>
      <c r="AH84" s="22"/>
      <c r="AI84" s="22"/>
      <c r="AJ84" s="22"/>
      <c r="AK84" s="22"/>
      <c r="AL84" s="22"/>
      <c r="AM84" s="22"/>
      <c r="AN84" s="22"/>
      <c r="AO84" s="22"/>
      <c r="AP84" s="22"/>
      <c r="AQ84" s="22"/>
    </row>
    <row r="85" spans="1:44" ht="15" customHeight="1" thickBo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5">
      <c r="A86" s="339" t="s">
        <v>224</v>
      </c>
      <c r="B86" s="581" t="str">
        <f t="shared" ref="B86:W86" si="13">B7</f>
        <v xml:space="preserve">  LPG og petroleum</v>
      </c>
      <c r="C86" s="581" t="str">
        <f t="shared" si="13"/>
        <v xml:space="preserve">  Kul</v>
      </c>
      <c r="D86" s="581" t="str">
        <f t="shared" si="13"/>
        <v xml:space="preserve">  Fuelolie</v>
      </c>
      <c r="E86" s="581" t="str">
        <f t="shared" si="13"/>
        <v xml:space="preserve">  Brændselsolie</v>
      </c>
      <c r="F86" s="581" t="str">
        <f t="shared" si="13"/>
        <v xml:space="preserve">  Dieselolie</v>
      </c>
      <c r="G86" s="581" t="str">
        <f t="shared" si="13"/>
        <v xml:space="preserve">  JP1</v>
      </c>
      <c r="H86" s="581" t="str">
        <f t="shared" si="13"/>
        <v xml:space="preserve">  Benzin</v>
      </c>
      <c r="I86" s="581" t="str">
        <f t="shared" si="13"/>
        <v xml:space="preserve">  Naturgas</v>
      </c>
      <c r="J86" s="581" t="str">
        <f t="shared" si="13"/>
        <v xml:space="preserve">  Vindenergi</v>
      </c>
      <c r="K86" s="581" t="str">
        <f t="shared" si="13"/>
        <v xml:space="preserve">  Vandenergi</v>
      </c>
      <c r="L86" s="581" t="str">
        <f t="shared" si="13"/>
        <v xml:space="preserve">  Solenergi</v>
      </c>
      <c r="M86" s="581" t="str">
        <f t="shared" si="13"/>
        <v xml:space="preserve">  Geotermi</v>
      </c>
      <c r="N86" s="581" t="str">
        <f t="shared" si="13"/>
        <v xml:space="preserve">  Varmekilder til varmepumper</v>
      </c>
      <c r="O86" s="581" t="str">
        <f t="shared" si="13"/>
        <v xml:space="preserve">  Husdyrsgødning</v>
      </c>
      <c r="P86" s="581" t="str">
        <f t="shared" si="13"/>
        <v xml:space="preserve">  Biobrændstof og energiafgrøder</v>
      </c>
      <c r="Q86" s="581" t="str">
        <f t="shared" si="13"/>
        <v xml:space="preserve">  Halm</v>
      </c>
      <c r="R86" s="581" t="str">
        <f t="shared" si="13"/>
        <v xml:space="preserve">  Brænde og træflis</v>
      </c>
      <c r="S86" s="581" t="str">
        <f t="shared" si="13"/>
        <v xml:space="preserve">  Træpiller og træaffald</v>
      </c>
      <c r="T86" s="581" t="str">
        <f t="shared" si="13"/>
        <v xml:space="preserve">  Organisk affald, industri</v>
      </c>
      <c r="U86" s="581" t="str">
        <f t="shared" si="13"/>
        <v xml:space="preserve">  Organisk affald, husholdninger</v>
      </c>
      <c r="V86" s="581" t="str">
        <f t="shared" si="13"/>
        <v xml:space="preserve">  Deponi, slam, renseanlæg</v>
      </c>
      <c r="W86" s="584" t="str">
        <f t="shared" si="13"/>
        <v xml:space="preserve">  Affald, ikke bionedbrydeligt</v>
      </c>
      <c r="X86" s="6"/>
      <c r="Y86" s="6"/>
      <c r="Z86" s="6"/>
      <c r="AA86" s="6"/>
      <c r="AB86" s="6"/>
      <c r="AC86" s="6"/>
      <c r="AD86" s="6"/>
      <c r="AE86" s="6"/>
      <c r="AF86" s="6"/>
      <c r="AG86" s="6"/>
      <c r="AH86" s="6"/>
      <c r="AI86" s="6"/>
      <c r="AJ86" s="6"/>
      <c r="AK86" s="6"/>
      <c r="AL86" s="6"/>
      <c r="AM86" s="6"/>
      <c r="AN86" s="6"/>
      <c r="AO86" s="6"/>
      <c r="AP86" s="6"/>
      <c r="AQ86" s="6"/>
    </row>
    <row r="87" spans="1:44" ht="24.6" x14ac:dyDescent="0.25">
      <c r="A87" s="340">
        <v>44</v>
      </c>
      <c r="B87" s="582"/>
      <c r="C87" s="582"/>
      <c r="D87" s="582"/>
      <c r="E87" s="582"/>
      <c r="F87" s="582"/>
      <c r="G87" s="582"/>
      <c r="H87" s="582"/>
      <c r="I87" s="582"/>
      <c r="J87" s="582"/>
      <c r="K87" s="582"/>
      <c r="L87" s="582"/>
      <c r="M87" s="582"/>
      <c r="N87" s="582"/>
      <c r="O87" s="582"/>
      <c r="P87" s="582"/>
      <c r="Q87" s="582"/>
      <c r="R87" s="582"/>
      <c r="S87" s="582"/>
      <c r="T87" s="582"/>
      <c r="U87" s="582"/>
      <c r="V87" s="582"/>
      <c r="W87" s="585"/>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3">
      <c r="A88" s="28" t="s">
        <v>225</v>
      </c>
      <c r="B88" s="583"/>
      <c r="C88" s="583"/>
      <c r="D88" s="583"/>
      <c r="E88" s="583"/>
      <c r="F88" s="583"/>
      <c r="G88" s="583"/>
      <c r="H88" s="583"/>
      <c r="I88" s="583"/>
      <c r="J88" s="583"/>
      <c r="K88" s="583"/>
      <c r="L88" s="583"/>
      <c r="M88" s="583"/>
      <c r="N88" s="583"/>
      <c r="O88" s="583"/>
      <c r="P88" s="583"/>
      <c r="Q88" s="583"/>
      <c r="R88" s="583"/>
      <c r="S88" s="583"/>
      <c r="T88" s="583"/>
      <c r="U88" s="583"/>
      <c r="V88" s="583"/>
      <c r="W88" s="586"/>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5">
      <c r="A89" s="29">
        <v>124.12</v>
      </c>
      <c r="B89" s="341">
        <v>63.1</v>
      </c>
      <c r="C89" s="341">
        <v>94.95</v>
      </c>
      <c r="D89" s="341">
        <v>78.84</v>
      </c>
      <c r="E89" s="341">
        <v>74</v>
      </c>
      <c r="F89" s="341">
        <v>74</v>
      </c>
      <c r="G89" s="341">
        <v>72</v>
      </c>
      <c r="H89" s="341">
        <v>73</v>
      </c>
      <c r="I89" s="341">
        <v>57</v>
      </c>
      <c r="J89" s="30"/>
      <c r="K89" s="30"/>
      <c r="L89" s="30"/>
      <c r="M89" s="30"/>
      <c r="N89" s="31"/>
      <c r="O89" s="30"/>
      <c r="P89" s="30"/>
      <c r="Q89" s="30"/>
      <c r="R89" s="30"/>
      <c r="S89" s="30"/>
      <c r="T89" s="30"/>
      <c r="U89" s="30"/>
      <c r="V89" s="31"/>
      <c r="W89" s="342">
        <v>82.22</v>
      </c>
      <c r="X89" s="343" t="s">
        <v>226</v>
      </c>
      <c r="Y89" s="32"/>
      <c r="Z89" s="33"/>
      <c r="AA89" s="33"/>
      <c r="AB89" s="33"/>
      <c r="AC89" s="33"/>
      <c r="AD89" s="33"/>
      <c r="AE89" s="33"/>
      <c r="AF89" s="33"/>
      <c r="AG89" s="33"/>
      <c r="AH89" s="33"/>
      <c r="AI89" s="33"/>
      <c r="AJ89" s="33"/>
      <c r="AK89" s="33"/>
      <c r="AL89" s="33"/>
      <c r="AM89" s="33"/>
      <c r="AN89" s="33"/>
      <c r="AO89" s="33"/>
      <c r="AP89" s="33"/>
      <c r="AQ89" s="33"/>
    </row>
    <row r="90" spans="1:44"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5">
      <c r="Y91" s="21"/>
    </row>
    <row r="92" spans="1:44" x14ac:dyDescent="0.25">
      <c r="Y92" s="6"/>
    </row>
    <row r="93" spans="1:44" ht="12.75" customHeight="1" x14ac:dyDescent="0.4">
      <c r="A93" s="35"/>
      <c r="Y93" s="21"/>
    </row>
    <row r="95" spans="1:44" x14ac:dyDescent="0.25">
      <c r="Y95" s="21"/>
    </row>
    <row r="96" spans="1:44" x14ac:dyDescent="0.25">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A6:X6"/>
    <mergeCell ref="Z6:AC6"/>
    <mergeCell ref="Y1:Y2"/>
    <mergeCell ref="Y3:Y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6"/>
  <sheetViews>
    <sheetView topLeftCell="A79" workbookViewId="0">
      <selection activeCell="Q28" sqref="Q28"/>
    </sheetView>
  </sheetViews>
  <sheetFormatPr defaultColWidth="9.109375" defaultRowHeight="13.2" x14ac:dyDescent="0.25"/>
  <cols>
    <col min="1" max="23" width="7.109375" style="8" customWidth="1"/>
    <col min="24" max="24" width="8.6640625" style="8" customWidth="1"/>
    <col min="25" max="25" width="52.109375" style="8" bestFit="1" customWidth="1"/>
    <col min="26" max="29" width="5.6640625" style="8" customWidth="1"/>
    <col min="30" max="34" width="8.6640625" style="8" customWidth="1"/>
    <col min="35" max="43" width="7.109375" style="8" customWidth="1"/>
    <col min="44" max="16384" width="9.109375" style="8"/>
  </cols>
  <sheetData>
    <row r="1" spans="1:52" ht="15" customHeight="1" x14ac:dyDescent="0.25">
      <c r="A1" s="295" t="s">
        <v>96</v>
      </c>
      <c r="B1" s="5"/>
      <c r="C1" s="5"/>
      <c r="D1" s="587">
        <v>90519</v>
      </c>
      <c r="E1" s="588"/>
      <c r="F1" s="6"/>
      <c r="G1" s="6"/>
      <c r="H1" s="6"/>
      <c r="I1" s="6"/>
      <c r="K1" s="6"/>
      <c r="L1" s="6"/>
      <c r="M1" s="6"/>
      <c r="N1" s="6"/>
      <c r="O1" s="6"/>
      <c r="P1" s="6"/>
      <c r="Q1" s="6"/>
      <c r="R1" s="6"/>
      <c r="S1" s="6"/>
      <c r="T1" s="6"/>
      <c r="U1" s="6"/>
      <c r="V1" s="7"/>
      <c r="W1" s="7"/>
      <c r="X1" s="7"/>
      <c r="Y1" s="579" t="s">
        <v>97</v>
      </c>
      <c r="Z1" s="7"/>
      <c r="AA1" s="7"/>
      <c r="AB1" s="7"/>
      <c r="AC1" s="7"/>
      <c r="AD1" s="6"/>
      <c r="AE1" s="6"/>
      <c r="AF1" s="6"/>
      <c r="AG1" s="6"/>
      <c r="AH1" s="6"/>
      <c r="AI1" s="6"/>
      <c r="AJ1" s="6"/>
      <c r="AK1" s="6"/>
      <c r="AL1" s="6"/>
      <c r="AM1" s="6"/>
      <c r="AN1" s="6"/>
      <c r="AO1" s="6"/>
      <c r="AP1" s="6"/>
      <c r="AQ1" s="6"/>
    </row>
    <row r="2" spans="1:52" ht="15" customHeight="1" x14ac:dyDescent="0.25">
      <c r="A2" s="296" t="s">
        <v>98</v>
      </c>
      <c r="B2" s="6"/>
      <c r="C2" s="6"/>
      <c r="D2" s="509">
        <v>92.61</v>
      </c>
      <c r="E2" s="298" t="s">
        <v>99</v>
      </c>
      <c r="F2" s="6"/>
      <c r="G2" s="6"/>
      <c r="H2" s="6"/>
      <c r="I2" s="6"/>
      <c r="J2" s="6"/>
      <c r="K2" s="6"/>
      <c r="L2" s="6"/>
      <c r="M2" s="6"/>
      <c r="N2" s="6"/>
      <c r="O2" s="6"/>
      <c r="P2" s="6"/>
      <c r="Q2" s="6"/>
      <c r="R2" s="6"/>
      <c r="S2" s="6"/>
      <c r="T2" s="6"/>
      <c r="U2" s="6"/>
      <c r="V2" s="7"/>
      <c r="W2" s="7"/>
      <c r="X2" s="7"/>
      <c r="Y2" s="579"/>
      <c r="Z2" s="7"/>
      <c r="AA2" s="7"/>
      <c r="AB2" s="7"/>
      <c r="AC2" s="7"/>
      <c r="AD2" s="6"/>
      <c r="AE2" s="6"/>
      <c r="AF2" s="6"/>
      <c r="AG2" s="6"/>
      <c r="AH2" s="6"/>
      <c r="AI2" s="6"/>
      <c r="AJ2" s="6"/>
      <c r="AK2" s="6"/>
      <c r="AL2" s="6"/>
      <c r="AM2" s="6"/>
      <c r="AN2" s="6"/>
      <c r="AO2" s="6"/>
      <c r="AP2" s="6"/>
      <c r="AQ2" s="6"/>
    </row>
    <row r="3" spans="1:52" ht="15" customHeight="1" thickBot="1" x14ac:dyDescent="0.3">
      <c r="A3" s="299" t="s">
        <v>100</v>
      </c>
      <c r="B3" s="9"/>
      <c r="C3" s="9"/>
      <c r="D3" s="9" t="s">
        <v>101</v>
      </c>
      <c r="E3" s="10"/>
      <c r="F3" s="6"/>
      <c r="G3" s="6"/>
      <c r="H3" s="6"/>
      <c r="I3" s="6"/>
      <c r="J3" s="6"/>
      <c r="K3" s="6"/>
      <c r="L3" s="6"/>
      <c r="M3" s="6"/>
      <c r="N3" s="6"/>
      <c r="O3" s="6"/>
      <c r="P3" s="6"/>
      <c r="Q3" s="6"/>
      <c r="R3" s="6"/>
      <c r="S3" s="6"/>
      <c r="T3" s="6"/>
      <c r="U3" s="6"/>
      <c r="V3" s="7"/>
      <c r="W3" s="7"/>
      <c r="X3" s="589" t="s">
        <v>490</v>
      </c>
      <c r="Y3" s="589"/>
      <c r="Z3" s="589"/>
      <c r="AA3" s="7"/>
      <c r="AB3" s="7"/>
      <c r="AC3" s="7"/>
      <c r="AD3" s="6"/>
      <c r="AE3" s="6"/>
      <c r="AF3" s="6"/>
      <c r="AG3" s="6"/>
      <c r="AH3" s="6"/>
      <c r="AI3" s="6"/>
      <c r="AJ3" s="6"/>
      <c r="AK3" s="6"/>
      <c r="AL3" s="6"/>
      <c r="AM3" s="6"/>
      <c r="AN3" s="6"/>
      <c r="AO3" s="6"/>
      <c r="AP3" s="6"/>
      <c r="AQ3" s="6"/>
    </row>
    <row r="4" spans="1:52" ht="15" customHeight="1" x14ac:dyDescent="0.25">
      <c r="A4" s="6"/>
      <c r="B4" s="6"/>
      <c r="C4" s="6"/>
      <c r="D4" s="6"/>
      <c r="E4" s="6"/>
      <c r="F4" s="6"/>
      <c r="G4" s="6"/>
      <c r="H4" s="6"/>
      <c r="I4" s="6"/>
      <c r="J4" s="6"/>
      <c r="K4" s="6"/>
      <c r="L4" s="6"/>
      <c r="M4" s="6"/>
      <c r="N4" s="6"/>
      <c r="O4" s="6"/>
      <c r="P4" s="6"/>
      <c r="Q4" s="6"/>
      <c r="R4" s="6"/>
      <c r="S4" s="6"/>
      <c r="T4" s="6"/>
      <c r="U4" s="6"/>
      <c r="V4" s="7"/>
      <c r="W4" s="7"/>
      <c r="X4" s="589"/>
      <c r="Y4" s="589"/>
      <c r="Z4" s="589"/>
      <c r="AA4" s="7"/>
      <c r="AB4" s="7"/>
      <c r="AC4" s="7"/>
      <c r="AD4" s="6"/>
      <c r="AE4" s="6"/>
      <c r="AF4" s="6"/>
      <c r="AG4" s="6"/>
      <c r="AH4" s="6"/>
      <c r="AI4" s="6"/>
      <c r="AJ4" s="6"/>
      <c r="AK4" s="6"/>
      <c r="AL4" s="6"/>
      <c r="AM4" s="6"/>
      <c r="AN4" s="6"/>
      <c r="AO4" s="6"/>
      <c r="AP4" s="6"/>
      <c r="AQ4" s="6"/>
    </row>
    <row r="5" spans="1:52" ht="15" customHeight="1" x14ac:dyDescent="0.25">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2" ht="15" customHeight="1" x14ac:dyDescent="0.3">
      <c r="A6" s="578" t="s">
        <v>102</v>
      </c>
      <c r="B6" s="578"/>
      <c r="C6" s="578"/>
      <c r="D6" s="578"/>
      <c r="E6" s="578"/>
      <c r="F6" s="578"/>
      <c r="G6" s="578"/>
      <c r="H6" s="578"/>
      <c r="I6" s="578"/>
      <c r="J6" s="578"/>
      <c r="K6" s="578"/>
      <c r="L6" s="578"/>
      <c r="M6" s="578"/>
      <c r="N6" s="578"/>
      <c r="O6" s="578"/>
      <c r="P6" s="578"/>
      <c r="Q6" s="578"/>
      <c r="R6" s="578"/>
      <c r="S6" s="578"/>
      <c r="T6" s="578"/>
      <c r="U6" s="578"/>
      <c r="V6" s="578"/>
      <c r="W6" s="578"/>
      <c r="X6" s="578"/>
      <c r="Y6" s="508" t="s">
        <v>103</v>
      </c>
      <c r="Z6" s="578" t="s">
        <v>104</v>
      </c>
      <c r="AA6" s="578"/>
      <c r="AB6" s="578"/>
      <c r="AC6" s="578"/>
      <c r="AD6" s="578" t="s">
        <v>105</v>
      </c>
      <c r="AE6" s="578"/>
      <c r="AF6" s="578" t="s">
        <v>106</v>
      </c>
      <c r="AG6" s="578"/>
      <c r="AH6" s="300"/>
      <c r="AI6" s="578" t="s">
        <v>107</v>
      </c>
      <c r="AJ6" s="578"/>
      <c r="AK6" s="578"/>
      <c r="AL6" s="578"/>
      <c r="AM6" s="578"/>
      <c r="AN6" s="578"/>
      <c r="AO6" s="578"/>
      <c r="AP6" s="578"/>
      <c r="AQ6" s="578"/>
    </row>
    <row r="7" spans="1:52" s="14" customFormat="1" ht="159.9" customHeight="1" thickBot="1" x14ac:dyDescent="0.8">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1" t="s">
        <v>131</v>
      </c>
      <c r="Y7" s="302"/>
      <c r="Z7" s="303" t="s">
        <v>132</v>
      </c>
      <c r="AA7" s="12" t="s">
        <v>133</v>
      </c>
      <c r="AB7" s="12" t="s">
        <v>134</v>
      </c>
      <c r="AC7" s="301" t="s">
        <v>135</v>
      </c>
      <c r="AD7" s="11" t="s">
        <v>136</v>
      </c>
      <c r="AE7" s="301" t="s">
        <v>137</v>
      </c>
      <c r="AF7" s="11" t="s">
        <v>136</v>
      </c>
      <c r="AG7" s="301" t="s">
        <v>137</v>
      </c>
      <c r="AH7" s="13" t="s">
        <v>138</v>
      </c>
      <c r="AI7" s="304" t="s">
        <v>139</v>
      </c>
      <c r="AJ7" s="12" t="s">
        <v>140</v>
      </c>
      <c r="AK7" s="12" t="s">
        <v>141</v>
      </c>
      <c r="AL7" s="12" t="s">
        <v>142</v>
      </c>
      <c r="AM7" s="12" t="s">
        <v>143</v>
      </c>
      <c r="AN7" s="12" t="s">
        <v>144</v>
      </c>
      <c r="AO7" s="305" t="s">
        <v>145</v>
      </c>
      <c r="AP7" s="305" t="s">
        <v>146</v>
      </c>
      <c r="AQ7" s="301" t="s">
        <v>147</v>
      </c>
    </row>
    <row r="8" spans="1:52" ht="15" customHeight="1" x14ac:dyDescent="0.3">
      <c r="A8" s="260"/>
      <c r="B8" s="261"/>
      <c r="C8" s="261"/>
      <c r="D8" s="261"/>
      <c r="E8" s="261"/>
      <c r="F8" s="261"/>
      <c r="G8" s="261"/>
      <c r="H8" s="261"/>
      <c r="I8" s="261"/>
      <c r="J8" s="261"/>
      <c r="K8" s="261"/>
      <c r="L8" s="261"/>
      <c r="M8" s="261"/>
      <c r="N8" s="261"/>
      <c r="O8" s="261"/>
      <c r="P8" s="261"/>
      <c r="Q8" s="261"/>
      <c r="R8" s="261"/>
      <c r="S8" s="261"/>
      <c r="T8" s="261"/>
      <c r="U8" s="261"/>
      <c r="V8" s="261"/>
      <c r="W8" s="261"/>
      <c r="X8" s="306">
        <f t="shared" ref="X8:X80" si="0">SUM(A8:W8)</f>
        <v>0</v>
      </c>
      <c r="Y8" s="207" t="s">
        <v>148</v>
      </c>
      <c r="Z8" s="260"/>
      <c r="AA8" s="261">
        <v>44</v>
      </c>
      <c r="AB8" s="261"/>
      <c r="AC8" s="306"/>
      <c r="AD8" s="260">
        <f t="shared" ref="AD8:AD14" si="1">-AE8/$D$2%</f>
        <v>-68.714354428640135</v>
      </c>
      <c r="AE8" s="321">
        <f>AH8/AA8%</f>
        <v>63.636363636363633</v>
      </c>
      <c r="AF8" s="320"/>
      <c r="AG8" s="321"/>
      <c r="AH8" s="347">
        <f t="shared" ref="AH8:AH14" si="2">SUM(AI8:AQ8)</f>
        <v>28</v>
      </c>
      <c r="AI8" s="307">
        <v>28</v>
      </c>
      <c r="AJ8" s="174">
        <v>0</v>
      </c>
      <c r="AK8" s="174">
        <v>0</v>
      </c>
      <c r="AL8" s="174">
        <v>0</v>
      </c>
      <c r="AM8" s="174">
        <v>0</v>
      </c>
      <c r="AN8" s="174">
        <v>0</v>
      </c>
      <c r="AO8" s="174">
        <v>0</v>
      </c>
      <c r="AP8" s="174">
        <v>0</v>
      </c>
      <c r="AQ8" s="431">
        <v>0</v>
      </c>
      <c r="AR8" s="22"/>
      <c r="AS8" s="22"/>
      <c r="AT8" s="22"/>
      <c r="AU8" s="22"/>
      <c r="AV8" s="22"/>
      <c r="AW8" s="22"/>
      <c r="AX8" s="22"/>
      <c r="AY8" s="22"/>
      <c r="AZ8" s="22"/>
    </row>
    <row r="9" spans="1:52" ht="15" customHeight="1" x14ac:dyDescent="0.3">
      <c r="A9" s="260"/>
      <c r="B9" s="261"/>
      <c r="C9" s="261"/>
      <c r="D9" s="261"/>
      <c r="E9" s="261"/>
      <c r="F9" s="261"/>
      <c r="G9" s="261"/>
      <c r="H9" s="261"/>
      <c r="I9" s="261"/>
      <c r="J9" s="261"/>
      <c r="K9" s="261"/>
      <c r="L9" s="261"/>
      <c r="M9" s="261"/>
      <c r="N9" s="261"/>
      <c r="O9" s="261"/>
      <c r="P9" s="261"/>
      <c r="Q9" s="261"/>
      <c r="R9" s="261"/>
      <c r="S9" s="261"/>
      <c r="T9" s="261"/>
      <c r="U9" s="261"/>
      <c r="V9" s="261"/>
      <c r="W9" s="261"/>
      <c r="X9" s="306">
        <f t="shared" si="0"/>
        <v>0</v>
      </c>
      <c r="Y9" s="207" t="s">
        <v>149</v>
      </c>
      <c r="Z9" s="260"/>
      <c r="AA9" s="261"/>
      <c r="AB9" s="261">
        <v>90</v>
      </c>
      <c r="AC9" s="306"/>
      <c r="AD9" s="260">
        <f t="shared" si="1"/>
        <v>-12.801593300459514</v>
      </c>
      <c r="AE9" s="321">
        <f>AH9/AB9%</f>
        <v>11.855555555555556</v>
      </c>
      <c r="AF9" s="320"/>
      <c r="AG9" s="321"/>
      <c r="AH9" s="347">
        <f t="shared" si="2"/>
        <v>10.67</v>
      </c>
      <c r="AI9" s="510">
        <v>10.67</v>
      </c>
      <c r="AJ9" s="174">
        <v>0</v>
      </c>
      <c r="AK9" s="174">
        <v>0</v>
      </c>
      <c r="AL9" s="174">
        <v>0</v>
      </c>
      <c r="AM9" s="174">
        <v>0</v>
      </c>
      <c r="AN9" s="174">
        <v>0</v>
      </c>
      <c r="AO9" s="174">
        <v>0</v>
      </c>
      <c r="AP9" s="174">
        <v>0</v>
      </c>
      <c r="AQ9" s="431">
        <v>0</v>
      </c>
      <c r="AR9" s="22"/>
      <c r="AS9" s="22"/>
      <c r="AT9" s="22"/>
      <c r="AU9" s="22"/>
      <c r="AV9" s="22"/>
      <c r="AW9" s="22"/>
      <c r="AX9" s="22"/>
      <c r="AY9" s="22"/>
      <c r="AZ9" s="22"/>
    </row>
    <row r="10" spans="1:52" ht="15" customHeight="1" x14ac:dyDescent="0.3">
      <c r="A10" s="260"/>
      <c r="B10" s="261"/>
      <c r="C10" s="261"/>
      <c r="D10" s="261"/>
      <c r="E10" s="261"/>
      <c r="F10" s="261"/>
      <c r="G10" s="261"/>
      <c r="H10" s="261"/>
      <c r="I10" s="261"/>
      <c r="J10" s="261"/>
      <c r="K10" s="261"/>
      <c r="L10" s="261"/>
      <c r="M10" s="261"/>
      <c r="N10" s="261"/>
      <c r="O10" s="261"/>
      <c r="P10" s="261"/>
      <c r="Q10" s="261"/>
      <c r="R10" s="261"/>
      <c r="S10" s="261"/>
      <c r="T10" s="261"/>
      <c r="U10" s="261"/>
      <c r="V10" s="261"/>
      <c r="W10" s="261"/>
      <c r="X10" s="306">
        <f t="shared" si="0"/>
        <v>0</v>
      </c>
      <c r="Y10" s="207" t="s">
        <v>150</v>
      </c>
      <c r="Z10" s="260"/>
      <c r="AA10" s="261"/>
      <c r="AB10" s="261">
        <v>100</v>
      </c>
      <c r="AC10" s="306"/>
      <c r="AD10" s="260">
        <f t="shared" si="1"/>
        <v>-54.335384947629841</v>
      </c>
      <c r="AE10" s="321">
        <f>AH10/AB10%</f>
        <v>50.32</v>
      </c>
      <c r="AF10" s="320"/>
      <c r="AG10" s="321"/>
      <c r="AH10" s="347">
        <f t="shared" si="2"/>
        <v>50.32</v>
      </c>
      <c r="AI10" s="510">
        <v>50.32</v>
      </c>
      <c r="AJ10" s="174">
        <v>0</v>
      </c>
      <c r="AK10" s="174">
        <v>0</v>
      </c>
      <c r="AL10" s="174">
        <v>0</v>
      </c>
      <c r="AM10" s="174">
        <v>0</v>
      </c>
      <c r="AN10" s="174">
        <v>0</v>
      </c>
      <c r="AO10" s="174">
        <v>0</v>
      </c>
      <c r="AP10" s="174">
        <v>0</v>
      </c>
      <c r="AQ10" s="431">
        <v>0</v>
      </c>
      <c r="AR10" s="22"/>
      <c r="AS10" s="22"/>
      <c r="AT10" s="22"/>
      <c r="AU10" s="22"/>
      <c r="AV10" s="22"/>
      <c r="AW10" s="22"/>
      <c r="AX10" s="22"/>
      <c r="AY10" s="22"/>
      <c r="AZ10" s="22"/>
    </row>
    <row r="11" spans="1:52" ht="15" customHeight="1" x14ac:dyDescent="0.3">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306">
        <f t="shared" si="0"/>
        <v>0</v>
      </c>
      <c r="Y11" s="207" t="s">
        <v>151</v>
      </c>
      <c r="Z11" s="260"/>
      <c r="AA11" s="261">
        <v>50</v>
      </c>
      <c r="AB11" s="261"/>
      <c r="AC11" s="306"/>
      <c r="AD11" s="260">
        <f t="shared" si="1"/>
        <v>-206.56516574883923</v>
      </c>
      <c r="AE11" s="321">
        <f>AH11/AA11%</f>
        <v>191.3</v>
      </c>
      <c r="AF11" s="320"/>
      <c r="AG11" s="321"/>
      <c r="AH11" s="347">
        <f t="shared" si="2"/>
        <v>95.65</v>
      </c>
      <c r="AI11" s="510">
        <v>31.82</v>
      </c>
      <c r="AJ11" s="174">
        <v>21.12</v>
      </c>
      <c r="AK11" s="174">
        <v>9.1</v>
      </c>
      <c r="AL11" s="174">
        <v>16.399999999999999</v>
      </c>
      <c r="AM11" s="174">
        <v>0.3</v>
      </c>
      <c r="AN11" s="174">
        <v>10.4</v>
      </c>
      <c r="AO11" s="174">
        <v>0.11</v>
      </c>
      <c r="AP11" s="174">
        <v>6.4</v>
      </c>
      <c r="AQ11" s="431">
        <v>0</v>
      </c>
      <c r="AR11" s="22"/>
      <c r="AS11" s="22"/>
      <c r="AT11" s="22"/>
      <c r="AU11" s="22"/>
      <c r="AV11" s="22"/>
      <c r="AW11" s="22"/>
      <c r="AX11" s="22"/>
      <c r="AY11" s="22"/>
      <c r="AZ11" s="22"/>
    </row>
    <row r="12" spans="1:52" ht="15" customHeight="1" x14ac:dyDescent="0.3">
      <c r="A12" s="260"/>
      <c r="B12" s="261"/>
      <c r="C12" s="261"/>
      <c r="D12" s="261"/>
      <c r="E12" s="261"/>
      <c r="F12" s="261"/>
      <c r="G12" s="261"/>
      <c r="H12" s="261"/>
      <c r="I12" s="261"/>
      <c r="J12" s="261"/>
      <c r="K12" s="261"/>
      <c r="L12" s="261"/>
      <c r="M12" s="261"/>
      <c r="N12" s="261"/>
      <c r="O12" s="261"/>
      <c r="P12" s="261"/>
      <c r="Q12" s="261"/>
      <c r="R12" s="261"/>
      <c r="S12" s="261"/>
      <c r="T12" s="261"/>
      <c r="U12" s="261"/>
      <c r="V12" s="261"/>
      <c r="W12" s="261"/>
      <c r="X12" s="306">
        <f t="shared" si="0"/>
        <v>0</v>
      </c>
      <c r="Y12" s="207" t="s">
        <v>152</v>
      </c>
      <c r="Z12" s="260"/>
      <c r="AA12" s="261">
        <v>150</v>
      </c>
      <c r="AB12" s="261"/>
      <c r="AC12" s="306"/>
      <c r="AD12" s="260">
        <f t="shared" si="1"/>
        <v>-176.42443220674514</v>
      </c>
      <c r="AE12" s="321">
        <f>AH12/AA12%</f>
        <v>163.38666666666668</v>
      </c>
      <c r="AF12" s="320"/>
      <c r="AG12" s="321"/>
      <c r="AH12" s="347">
        <f t="shared" si="2"/>
        <v>245.08</v>
      </c>
      <c r="AI12" s="510">
        <v>112.7</v>
      </c>
      <c r="AJ12" s="174">
        <v>0</v>
      </c>
      <c r="AK12" s="174">
        <v>30.58</v>
      </c>
      <c r="AL12" s="174">
        <v>55.1</v>
      </c>
      <c r="AM12" s="174">
        <v>1.18</v>
      </c>
      <c r="AN12" s="174">
        <v>41.61</v>
      </c>
      <c r="AO12" s="174">
        <v>7.0000000000000007E-2</v>
      </c>
      <c r="AP12" s="174">
        <v>3.84</v>
      </c>
      <c r="AQ12" s="431">
        <v>0</v>
      </c>
      <c r="AR12" s="22"/>
      <c r="AS12" s="22"/>
      <c r="AT12" s="22"/>
      <c r="AU12" s="22"/>
      <c r="AV12" s="22"/>
      <c r="AW12" s="22"/>
      <c r="AX12" s="22"/>
      <c r="AY12" s="22"/>
      <c r="AZ12" s="22"/>
    </row>
    <row r="13" spans="1:52" ht="15" customHeight="1" x14ac:dyDescent="0.3">
      <c r="A13" s="260"/>
      <c r="B13" s="261"/>
      <c r="C13" s="261"/>
      <c r="D13" s="261"/>
      <c r="E13" s="261"/>
      <c r="F13" s="261"/>
      <c r="G13" s="261"/>
      <c r="H13" s="261"/>
      <c r="I13" s="261"/>
      <c r="J13" s="261"/>
      <c r="K13" s="261"/>
      <c r="L13" s="261"/>
      <c r="M13" s="261"/>
      <c r="N13" s="261"/>
      <c r="O13" s="261"/>
      <c r="P13" s="261"/>
      <c r="Q13" s="261"/>
      <c r="R13" s="261"/>
      <c r="S13" s="261"/>
      <c r="T13" s="261"/>
      <c r="U13" s="261"/>
      <c r="V13" s="261"/>
      <c r="W13" s="261"/>
      <c r="X13" s="306">
        <f t="shared" si="0"/>
        <v>0</v>
      </c>
      <c r="Y13" s="207" t="s">
        <v>153</v>
      </c>
      <c r="Z13" s="260"/>
      <c r="AA13" s="261">
        <v>85</v>
      </c>
      <c r="AB13" s="261"/>
      <c r="AC13" s="306"/>
      <c r="AD13" s="260">
        <f t="shared" si="1"/>
        <v>-859.62003849158702</v>
      </c>
      <c r="AE13" s="321">
        <f>AH13/AA13%</f>
        <v>796.09411764705874</v>
      </c>
      <c r="AF13" s="320"/>
      <c r="AG13" s="321"/>
      <c r="AH13" s="347">
        <f t="shared" si="2"/>
        <v>676.68</v>
      </c>
      <c r="AI13" s="510">
        <v>176.93</v>
      </c>
      <c r="AJ13" s="174">
        <v>97.09</v>
      </c>
      <c r="AK13" s="174">
        <v>29.08</v>
      </c>
      <c r="AL13" s="174">
        <v>52.41</v>
      </c>
      <c r="AM13" s="174">
        <v>7.19</v>
      </c>
      <c r="AN13" s="174">
        <v>253.45</v>
      </c>
      <c r="AO13" s="174">
        <v>1.04</v>
      </c>
      <c r="AP13" s="174">
        <v>59.48</v>
      </c>
      <c r="AQ13" s="431">
        <v>0.01</v>
      </c>
      <c r="AR13" s="22"/>
      <c r="AS13" s="22"/>
      <c r="AT13" s="22"/>
      <c r="AU13" s="22"/>
      <c r="AV13" s="22"/>
      <c r="AW13" s="22"/>
      <c r="AX13" s="22"/>
      <c r="AY13" s="22"/>
      <c r="AZ13" s="22"/>
    </row>
    <row r="14" spans="1:52" ht="15" customHeight="1" x14ac:dyDescent="0.3">
      <c r="A14" s="260"/>
      <c r="B14" s="307"/>
      <c r="C14" s="261"/>
      <c r="D14" s="261"/>
      <c r="E14" s="261"/>
      <c r="F14" s="261"/>
      <c r="G14" s="261"/>
      <c r="H14" s="261"/>
      <c r="I14" s="261"/>
      <c r="J14" s="261"/>
      <c r="K14" s="261"/>
      <c r="L14" s="261"/>
      <c r="M14" s="261"/>
      <c r="N14" s="261">
        <f>AH14-AE14</f>
        <v>0</v>
      </c>
      <c r="O14" s="261"/>
      <c r="P14" s="261"/>
      <c r="Q14" s="261"/>
      <c r="R14" s="261"/>
      <c r="S14" s="261"/>
      <c r="T14" s="261"/>
      <c r="U14" s="261"/>
      <c r="V14" s="261"/>
      <c r="W14" s="261"/>
      <c r="X14" s="306">
        <f t="shared" si="0"/>
        <v>0</v>
      </c>
      <c r="Y14" s="207" t="s">
        <v>154</v>
      </c>
      <c r="Z14" s="260"/>
      <c r="AA14" s="261"/>
      <c r="AB14" s="261">
        <v>250</v>
      </c>
      <c r="AC14" s="306"/>
      <c r="AD14" s="260">
        <f t="shared" si="1"/>
        <v>0</v>
      </c>
      <c r="AE14" s="431">
        <v>0</v>
      </c>
      <c r="AF14" s="320"/>
      <c r="AG14" s="321"/>
      <c r="AH14" s="347">
        <f t="shared" si="2"/>
        <v>0</v>
      </c>
      <c r="AI14" s="309">
        <f>AE14*AB14/100</f>
        <v>0</v>
      </c>
      <c r="AJ14" s="307"/>
      <c r="AK14" s="307"/>
      <c r="AL14" s="307"/>
      <c r="AM14" s="307"/>
      <c r="AN14" s="307"/>
      <c r="AO14" s="307"/>
      <c r="AP14" s="307"/>
      <c r="AQ14" s="321"/>
      <c r="AV14" s="18"/>
    </row>
    <row r="15" spans="1:52" ht="15" customHeight="1" x14ac:dyDescent="0.25">
      <c r="A15" s="260">
        <f>Z15%*AD15</f>
        <v>927.241061863901</v>
      </c>
      <c r="B15" s="307"/>
      <c r="C15" s="261"/>
      <c r="D15" s="261"/>
      <c r="E15" s="261"/>
      <c r="F15" s="261"/>
      <c r="G15" s="261"/>
      <c r="H15" s="261"/>
      <c r="I15" s="261"/>
      <c r="J15" s="261"/>
      <c r="K15" s="261"/>
      <c r="L15" s="261"/>
      <c r="M15" s="261"/>
      <c r="N15" s="261"/>
      <c r="O15" s="261"/>
      <c r="P15" s="261"/>
      <c r="Q15" s="261"/>
      <c r="R15" s="261"/>
      <c r="S15" s="261"/>
      <c r="T15" s="261"/>
      <c r="U15" s="261"/>
      <c r="V15" s="261"/>
      <c r="W15" s="261"/>
      <c r="X15" s="306">
        <f t="shared" si="0"/>
        <v>927.241061863901</v>
      </c>
      <c r="Y15" s="207" t="s">
        <v>155</v>
      </c>
      <c r="Z15" s="260">
        <v>100</v>
      </c>
      <c r="AA15" s="261"/>
      <c r="AB15" s="261"/>
      <c r="AC15" s="306"/>
      <c r="AD15" s="260">
        <f>-SUM(AD16:AD80,AD8:AD14)</f>
        <v>927.241061863901</v>
      </c>
      <c r="AE15" s="306"/>
      <c r="AF15" s="260"/>
      <c r="AG15" s="306"/>
      <c r="AH15" s="20">
        <f t="shared" ref="AH15:AH52" si="3">SUM(AI15:AQ15)</f>
        <v>0</v>
      </c>
      <c r="AI15" s="260"/>
      <c r="AJ15" s="261"/>
      <c r="AK15" s="261"/>
      <c r="AL15" s="261"/>
      <c r="AM15" s="261"/>
      <c r="AN15" s="261"/>
      <c r="AO15" s="261"/>
      <c r="AP15" s="261"/>
      <c r="AQ15" s="306"/>
      <c r="AV15" s="18"/>
    </row>
    <row r="16" spans="1:52" ht="15" customHeight="1" x14ac:dyDescent="0.3">
      <c r="A16" s="310"/>
      <c r="B16" s="511">
        <v>164.77</v>
      </c>
      <c r="C16" s="311"/>
      <c r="D16" s="311"/>
      <c r="E16" s="312"/>
      <c r="F16" s="312"/>
      <c r="G16" s="312"/>
      <c r="H16" s="312"/>
      <c r="I16" s="312"/>
      <c r="J16" s="311"/>
      <c r="K16" s="311"/>
      <c r="L16" s="311"/>
      <c r="M16" s="311"/>
      <c r="N16" s="311"/>
      <c r="O16" s="311"/>
      <c r="P16" s="311"/>
      <c r="Q16" s="311"/>
      <c r="R16" s="311"/>
      <c r="S16" s="311"/>
      <c r="T16" s="311"/>
      <c r="U16" s="311"/>
      <c r="V16" s="311"/>
      <c r="W16" s="311"/>
      <c r="X16" s="313">
        <f t="shared" si="0"/>
        <v>164.77</v>
      </c>
      <c r="Y16" s="314" t="s">
        <v>156</v>
      </c>
      <c r="Z16" s="310"/>
      <c r="AA16" s="311"/>
      <c r="AB16" s="312">
        <v>38</v>
      </c>
      <c r="AC16" s="313"/>
      <c r="AD16" s="310"/>
      <c r="AE16" s="313"/>
      <c r="AF16" s="310"/>
      <c r="AG16" s="313"/>
      <c r="AH16" s="20">
        <f t="shared" si="3"/>
        <v>62.481113539999996</v>
      </c>
      <c r="AI16" s="512">
        <f>X16*AB16/100*0.158</f>
        <v>9.8927908000000002</v>
      </c>
      <c r="AJ16" s="513">
        <f>X16*AB16/100*0.0067</f>
        <v>0.41950442000000004</v>
      </c>
      <c r="AK16" s="513">
        <f>X16*AB16/100*0.01</f>
        <v>0.62612600000000007</v>
      </c>
      <c r="AL16" s="513">
        <f>X16*AB16/100*0.0022</f>
        <v>0.13774772000000002</v>
      </c>
      <c r="AM16" s="513">
        <f>X16*AB16/100*0.118</f>
        <v>7.3882867999999995</v>
      </c>
      <c r="AN16" s="513">
        <f>X16*AB16/100*0.479</f>
        <v>29.9914354</v>
      </c>
      <c r="AO16" s="513"/>
      <c r="AP16" s="513">
        <f>X16*AB16/100*0.115</f>
        <v>7.2004490000000008</v>
      </c>
      <c r="AQ16" s="167">
        <f>X16*AB16/100*0.109</f>
        <v>6.8247733999999998</v>
      </c>
      <c r="AV16" s="18"/>
    </row>
    <row r="17" spans="1:48" ht="15" customHeight="1" x14ac:dyDescent="0.3">
      <c r="A17" s="260"/>
      <c r="B17" s="307"/>
      <c r="C17" s="261"/>
      <c r="D17" s="261"/>
      <c r="E17" s="174">
        <v>1661.83</v>
      </c>
      <c r="F17" s="307"/>
      <c r="G17" s="307"/>
      <c r="H17" s="307"/>
      <c r="I17" s="307"/>
      <c r="J17" s="261"/>
      <c r="K17" s="261"/>
      <c r="L17" s="261"/>
      <c r="M17" s="261"/>
      <c r="N17" s="307"/>
      <c r="O17" s="307"/>
      <c r="P17" s="307"/>
      <c r="Q17" s="307"/>
      <c r="R17" s="307"/>
      <c r="S17" s="307"/>
      <c r="T17" s="307"/>
      <c r="U17" s="307"/>
      <c r="V17" s="307"/>
      <c r="W17" s="307"/>
      <c r="X17" s="306">
        <f t="shared" si="0"/>
        <v>1661.83</v>
      </c>
      <c r="Y17" s="207" t="s">
        <v>157</v>
      </c>
      <c r="Z17" s="260"/>
      <c r="AA17" s="261"/>
      <c r="AB17" s="307">
        <v>80</v>
      </c>
      <c r="AC17" s="306"/>
      <c r="AD17" s="260"/>
      <c r="AE17" s="306"/>
      <c r="AF17" s="260"/>
      <c r="AG17" s="306"/>
      <c r="AH17" s="20">
        <f t="shared" si="3"/>
        <v>1329.4639999999999</v>
      </c>
      <c r="AI17" s="318">
        <f t="shared" ref="AI17:AI22" si="4">X17*AB17/100</f>
        <v>1329.4639999999999</v>
      </c>
      <c r="AJ17" s="261"/>
      <c r="AK17" s="261"/>
      <c r="AL17" s="261"/>
      <c r="AM17" s="261"/>
      <c r="AN17" s="261"/>
      <c r="AO17" s="261"/>
      <c r="AP17" s="261"/>
      <c r="AQ17" s="306"/>
      <c r="AS17" s="18"/>
    </row>
    <row r="18" spans="1:48" ht="15" customHeight="1" x14ac:dyDescent="0.3">
      <c r="A18" s="260"/>
      <c r="B18" s="307"/>
      <c r="C18" s="261"/>
      <c r="D18" s="261"/>
      <c r="E18" s="307"/>
      <c r="F18" s="307"/>
      <c r="G18" s="307"/>
      <c r="H18" s="307"/>
      <c r="I18" s="174">
        <v>62.54</v>
      </c>
      <c r="J18" s="261"/>
      <c r="K18" s="261"/>
      <c r="L18" s="261"/>
      <c r="M18" s="261"/>
      <c r="N18" s="307"/>
      <c r="O18" s="307"/>
      <c r="P18" s="307"/>
      <c r="Q18" s="307"/>
      <c r="R18" s="307"/>
      <c r="S18" s="307"/>
      <c r="T18" s="307"/>
      <c r="U18" s="307"/>
      <c r="V18" s="307"/>
      <c r="W18" s="307"/>
      <c r="X18" s="306">
        <f t="shared" si="0"/>
        <v>62.54</v>
      </c>
      <c r="Y18" s="207" t="s">
        <v>158</v>
      </c>
      <c r="Z18" s="260"/>
      <c r="AA18" s="261"/>
      <c r="AB18" s="307">
        <v>85</v>
      </c>
      <c r="AC18" s="306"/>
      <c r="AD18" s="260"/>
      <c r="AE18" s="306"/>
      <c r="AF18" s="260"/>
      <c r="AG18" s="306"/>
      <c r="AH18" s="20">
        <f t="shared" si="3"/>
        <v>53.158999999999999</v>
      </c>
      <c r="AI18" s="318">
        <f t="shared" si="4"/>
        <v>53.158999999999999</v>
      </c>
      <c r="AJ18" s="261"/>
      <c r="AK18" s="261"/>
      <c r="AL18" s="261"/>
      <c r="AM18" s="261"/>
      <c r="AN18" s="261"/>
      <c r="AO18" s="261"/>
      <c r="AP18" s="261"/>
      <c r="AQ18" s="306"/>
      <c r="AS18" s="18"/>
    </row>
    <row r="19" spans="1:48" ht="15" customHeight="1" x14ac:dyDescent="0.3">
      <c r="A19" s="260"/>
      <c r="B19" s="261"/>
      <c r="C19" s="261"/>
      <c r="D19" s="261"/>
      <c r="E19" s="261"/>
      <c r="F19" s="261"/>
      <c r="G19" s="261"/>
      <c r="H19" s="261"/>
      <c r="I19" s="174"/>
      <c r="J19" s="261"/>
      <c r="K19" s="261"/>
      <c r="L19" s="261"/>
      <c r="M19" s="261"/>
      <c r="N19" s="307"/>
      <c r="O19" s="307"/>
      <c r="P19" s="307"/>
      <c r="Q19" s="174"/>
      <c r="R19" s="174"/>
      <c r="S19" s="174">
        <v>3.76</v>
      </c>
      <c r="T19" s="307"/>
      <c r="U19" s="307"/>
      <c r="V19" s="307"/>
      <c r="W19" s="307"/>
      <c r="X19" s="306">
        <f t="shared" si="0"/>
        <v>3.76</v>
      </c>
      <c r="Y19" s="207" t="s">
        <v>159</v>
      </c>
      <c r="Z19" s="260"/>
      <c r="AA19" s="261"/>
      <c r="AB19" s="307">
        <v>75</v>
      </c>
      <c r="AC19" s="306"/>
      <c r="AD19" s="260"/>
      <c r="AE19" s="306"/>
      <c r="AF19" s="260"/>
      <c r="AG19" s="306"/>
      <c r="AH19" s="20">
        <f t="shared" si="3"/>
        <v>2.82</v>
      </c>
      <c r="AI19" s="318">
        <f t="shared" si="4"/>
        <v>2.82</v>
      </c>
      <c r="AJ19" s="261"/>
      <c r="AK19" s="261"/>
      <c r="AL19" s="261"/>
      <c r="AM19" s="261"/>
      <c r="AN19" s="261"/>
      <c r="AO19" s="261"/>
      <c r="AP19" s="261"/>
      <c r="AQ19" s="306"/>
      <c r="AV19" s="18"/>
    </row>
    <row r="20" spans="1:48" ht="15" customHeight="1" x14ac:dyDescent="0.3">
      <c r="A20" s="260"/>
      <c r="B20" s="261"/>
      <c r="C20" s="261"/>
      <c r="D20" s="261"/>
      <c r="E20" s="261"/>
      <c r="F20" s="261"/>
      <c r="G20" s="261"/>
      <c r="H20" s="261"/>
      <c r="I20" s="174"/>
      <c r="J20" s="261"/>
      <c r="K20" s="261"/>
      <c r="L20" s="261"/>
      <c r="M20" s="261"/>
      <c r="N20" s="307"/>
      <c r="O20" s="307"/>
      <c r="P20" s="307"/>
      <c r="Q20" s="174"/>
      <c r="R20" s="174">
        <v>139.28</v>
      </c>
      <c r="S20" s="174"/>
      <c r="T20" s="307"/>
      <c r="U20" s="307"/>
      <c r="V20" s="307"/>
      <c r="W20" s="307"/>
      <c r="X20" s="306">
        <f t="shared" si="0"/>
        <v>139.28</v>
      </c>
      <c r="Y20" s="207" t="s">
        <v>160</v>
      </c>
      <c r="Z20" s="260"/>
      <c r="AA20" s="261"/>
      <c r="AB20" s="307">
        <v>65</v>
      </c>
      <c r="AC20" s="306"/>
      <c r="AD20" s="260"/>
      <c r="AE20" s="306"/>
      <c r="AF20" s="260"/>
      <c r="AG20" s="306"/>
      <c r="AH20" s="20">
        <f t="shared" si="3"/>
        <v>90.532000000000011</v>
      </c>
      <c r="AI20" s="318">
        <f t="shared" si="4"/>
        <v>90.532000000000011</v>
      </c>
      <c r="AJ20" s="261"/>
      <c r="AK20" s="261"/>
      <c r="AL20" s="261"/>
      <c r="AM20" s="261"/>
      <c r="AN20" s="261"/>
      <c r="AO20" s="261"/>
      <c r="AP20" s="261"/>
      <c r="AQ20" s="306"/>
      <c r="AS20" s="18"/>
    </row>
    <row r="21" spans="1:48" ht="15" customHeight="1" x14ac:dyDescent="0.3">
      <c r="A21" s="260"/>
      <c r="B21" s="261"/>
      <c r="C21" s="261"/>
      <c r="D21" s="261"/>
      <c r="E21" s="261"/>
      <c r="F21" s="261"/>
      <c r="G21" s="261"/>
      <c r="H21" s="261"/>
      <c r="I21" s="174"/>
      <c r="J21" s="261"/>
      <c r="K21" s="261"/>
      <c r="L21" s="261"/>
      <c r="M21" s="261"/>
      <c r="N21" s="307"/>
      <c r="O21" s="307"/>
      <c r="P21" s="307"/>
      <c r="Q21" s="174">
        <v>239.9</v>
      </c>
      <c r="R21" s="174"/>
      <c r="S21" s="174"/>
      <c r="T21" s="307"/>
      <c r="U21" s="307"/>
      <c r="V21" s="307"/>
      <c r="W21" s="307"/>
      <c r="X21" s="306">
        <f t="shared" si="0"/>
        <v>239.9</v>
      </c>
      <c r="Y21" s="207" t="s">
        <v>161</v>
      </c>
      <c r="Z21" s="260"/>
      <c r="AA21" s="261"/>
      <c r="AB21" s="307">
        <v>65</v>
      </c>
      <c r="AC21" s="306"/>
      <c r="AD21" s="260"/>
      <c r="AE21" s="306"/>
      <c r="AF21" s="260"/>
      <c r="AG21" s="306"/>
      <c r="AH21" s="20">
        <f t="shared" si="3"/>
        <v>155.935</v>
      </c>
      <c r="AI21" s="318">
        <f t="shared" si="4"/>
        <v>155.935</v>
      </c>
      <c r="AJ21" s="261"/>
      <c r="AK21" s="261"/>
      <c r="AL21" s="261"/>
      <c r="AM21" s="261"/>
      <c r="AN21" s="261"/>
      <c r="AO21" s="261"/>
      <c r="AP21" s="261"/>
      <c r="AQ21" s="306"/>
      <c r="AS21" s="18"/>
    </row>
    <row r="22" spans="1:48" ht="15" customHeight="1" x14ac:dyDescent="0.3">
      <c r="A22" s="260"/>
      <c r="B22" s="261"/>
      <c r="C22" s="261"/>
      <c r="D22" s="261"/>
      <c r="E22" s="261"/>
      <c r="F22" s="261"/>
      <c r="G22" s="261"/>
      <c r="H22" s="261"/>
      <c r="I22" s="174"/>
      <c r="J22" s="261"/>
      <c r="K22" s="261"/>
      <c r="L22" s="174">
        <v>1.4</v>
      </c>
      <c r="M22" s="261"/>
      <c r="N22" s="307"/>
      <c r="O22" s="307"/>
      <c r="P22" s="307"/>
      <c r="Q22" s="307"/>
      <c r="R22" s="307"/>
      <c r="S22" s="307"/>
      <c r="T22" s="307"/>
      <c r="U22" s="307"/>
      <c r="V22" s="307"/>
      <c r="W22" s="307"/>
      <c r="X22" s="306">
        <f t="shared" si="0"/>
        <v>1.4</v>
      </c>
      <c r="Y22" s="207" t="s">
        <v>162</v>
      </c>
      <c r="Z22" s="260"/>
      <c r="AA22" s="261"/>
      <c r="AB22" s="261">
        <v>100</v>
      </c>
      <c r="AC22" s="306"/>
      <c r="AD22" s="260"/>
      <c r="AE22" s="306"/>
      <c r="AF22" s="260"/>
      <c r="AG22" s="306"/>
      <c r="AH22" s="20">
        <f t="shared" si="3"/>
        <v>1.4</v>
      </c>
      <c r="AI22" s="318">
        <f t="shared" si="4"/>
        <v>1.4</v>
      </c>
      <c r="AJ22" s="261"/>
      <c r="AK22" s="261"/>
      <c r="AL22" s="261"/>
      <c r="AM22" s="261"/>
      <c r="AN22" s="261"/>
      <c r="AO22" s="261"/>
      <c r="AP22" s="261"/>
      <c r="AQ22" s="306"/>
      <c r="AV22" s="18"/>
    </row>
    <row r="23" spans="1:48" ht="15" customHeight="1" x14ac:dyDescent="0.3">
      <c r="A23" s="260"/>
      <c r="B23" s="261"/>
      <c r="C23" s="261"/>
      <c r="D23" s="261"/>
      <c r="E23" s="174">
        <v>131.69</v>
      </c>
      <c r="F23" s="261"/>
      <c r="G23" s="261"/>
      <c r="H23" s="261"/>
      <c r="I23" s="174"/>
      <c r="J23" s="261"/>
      <c r="K23" s="261"/>
      <c r="L23" s="261"/>
      <c r="M23" s="261"/>
      <c r="N23" s="307"/>
      <c r="O23" s="307"/>
      <c r="P23" s="307"/>
      <c r="Q23" s="307"/>
      <c r="R23" s="307"/>
      <c r="S23" s="307"/>
      <c r="T23" s="307"/>
      <c r="U23" s="307"/>
      <c r="V23" s="307"/>
      <c r="W23" s="307"/>
      <c r="X23" s="306">
        <f t="shared" si="0"/>
        <v>131.69</v>
      </c>
      <c r="Y23" s="207" t="s">
        <v>163</v>
      </c>
      <c r="Z23" s="260"/>
      <c r="AA23" s="261">
        <v>90</v>
      </c>
      <c r="AB23" s="261"/>
      <c r="AC23" s="306"/>
      <c r="AD23" s="260"/>
      <c r="AE23" s="306"/>
      <c r="AF23" s="260"/>
      <c r="AG23" s="306"/>
      <c r="AH23" s="20">
        <f t="shared" si="3"/>
        <v>118.521</v>
      </c>
      <c r="AI23" s="318"/>
      <c r="AJ23" s="261"/>
      <c r="AK23" s="261"/>
      <c r="AL23" s="261"/>
      <c r="AM23" s="261"/>
      <c r="AN23" s="261">
        <f>X23*AA23/100</f>
        <v>118.521</v>
      </c>
      <c r="AO23" s="261"/>
      <c r="AP23" s="261"/>
      <c r="AQ23" s="306"/>
      <c r="AV23" s="18"/>
    </row>
    <row r="24" spans="1:48" ht="15" customHeight="1" x14ac:dyDescent="0.3">
      <c r="A24" s="260"/>
      <c r="B24" s="261"/>
      <c r="C24" s="261"/>
      <c r="D24" s="261"/>
      <c r="E24" s="261"/>
      <c r="F24" s="261"/>
      <c r="G24" s="261"/>
      <c r="H24" s="261"/>
      <c r="I24" s="174">
        <v>146.88</v>
      </c>
      <c r="J24" s="261"/>
      <c r="K24" s="261"/>
      <c r="L24" s="261"/>
      <c r="M24" s="261"/>
      <c r="N24" s="307"/>
      <c r="O24" s="307"/>
      <c r="P24" s="307"/>
      <c r="Q24" s="307"/>
      <c r="R24" s="307"/>
      <c r="S24" s="307"/>
      <c r="T24" s="307"/>
      <c r="U24" s="307"/>
      <c r="V24" s="307"/>
      <c r="W24" s="307"/>
      <c r="X24" s="306">
        <f t="shared" si="0"/>
        <v>146.88</v>
      </c>
      <c r="Y24" s="207" t="s">
        <v>164</v>
      </c>
      <c r="Z24" s="260"/>
      <c r="AA24" s="261">
        <v>90</v>
      </c>
      <c r="AB24" s="261"/>
      <c r="AC24" s="306"/>
      <c r="AD24" s="260"/>
      <c r="AE24" s="306"/>
      <c r="AF24" s="260"/>
      <c r="AG24" s="306"/>
      <c r="AH24" s="20">
        <f t="shared" si="3"/>
        <v>132.19199999999998</v>
      </c>
      <c r="AI24" s="318"/>
      <c r="AJ24" s="261"/>
      <c r="AK24" s="261"/>
      <c r="AL24" s="261"/>
      <c r="AM24" s="261"/>
      <c r="AN24" s="261">
        <f>X24*AA24/100</f>
        <v>132.19199999999998</v>
      </c>
      <c r="AO24" s="261"/>
      <c r="AP24" s="261"/>
      <c r="AQ24" s="306"/>
      <c r="AS24" s="18"/>
    </row>
    <row r="25" spans="1:48" ht="15" customHeight="1" x14ac:dyDescent="0.3">
      <c r="A25" s="260"/>
      <c r="B25" s="261"/>
      <c r="C25" s="174">
        <v>93.39</v>
      </c>
      <c r="D25" s="174">
        <v>88.81</v>
      </c>
      <c r="E25" s="174"/>
      <c r="F25" s="174"/>
      <c r="G25" s="174"/>
      <c r="H25" s="174"/>
      <c r="I25" s="174"/>
      <c r="J25" s="174"/>
      <c r="K25" s="174"/>
      <c r="L25" s="174"/>
      <c r="M25" s="174"/>
      <c r="N25" s="174"/>
      <c r="O25" s="174"/>
      <c r="P25" s="174"/>
      <c r="Q25" s="174"/>
      <c r="R25" s="174"/>
      <c r="S25" s="174">
        <v>11.51</v>
      </c>
      <c r="T25" s="174"/>
      <c r="U25" s="174"/>
      <c r="V25" s="174"/>
      <c r="W25" s="174">
        <v>116.2</v>
      </c>
      <c r="X25" s="306">
        <f t="shared" si="0"/>
        <v>309.90999999999997</v>
      </c>
      <c r="Y25" s="207" t="s">
        <v>165</v>
      </c>
      <c r="Z25" s="260"/>
      <c r="AA25" s="261">
        <v>90</v>
      </c>
      <c r="AB25" s="261"/>
      <c r="AC25" s="306"/>
      <c r="AD25" s="260"/>
      <c r="AE25" s="306"/>
      <c r="AF25" s="260"/>
      <c r="AG25" s="306"/>
      <c r="AH25" s="20">
        <f t="shared" si="3"/>
        <v>278.91899999999998</v>
      </c>
      <c r="AI25" s="318"/>
      <c r="AJ25" s="261"/>
      <c r="AK25" s="261"/>
      <c r="AL25" s="261"/>
      <c r="AM25" s="261"/>
      <c r="AN25" s="261">
        <f>X25*AA25/100</f>
        <v>278.91899999999998</v>
      </c>
      <c r="AO25" s="261"/>
      <c r="AP25" s="261"/>
      <c r="AQ25" s="306"/>
      <c r="AR25" s="21"/>
      <c r="AS25" s="18"/>
    </row>
    <row r="26" spans="1:48" ht="15" customHeight="1" x14ac:dyDescent="0.25">
      <c r="A26" s="260"/>
      <c r="B26" s="261"/>
      <c r="C26" s="261"/>
      <c r="D26" s="261"/>
      <c r="E26" s="261"/>
      <c r="F26" s="261"/>
      <c r="G26" s="261"/>
      <c r="H26" s="307"/>
      <c r="I26" s="307"/>
      <c r="J26" s="307"/>
      <c r="K26" s="307"/>
      <c r="L26" s="307"/>
      <c r="M26" s="307"/>
      <c r="N26" s="307"/>
      <c r="O26" s="307"/>
      <c r="P26" s="307"/>
      <c r="Q26" s="307"/>
      <c r="R26" s="307"/>
      <c r="S26" s="307"/>
      <c r="T26" s="307"/>
      <c r="U26" s="307"/>
      <c r="V26" s="307"/>
      <c r="W26" s="307"/>
      <c r="X26" s="306">
        <f t="shared" si="0"/>
        <v>0</v>
      </c>
      <c r="Y26" s="207" t="s">
        <v>166</v>
      </c>
      <c r="Z26" s="261">
        <v>100</v>
      </c>
      <c r="AA26" s="261"/>
      <c r="AB26" s="261"/>
      <c r="AC26" s="306"/>
      <c r="AD26" s="260">
        <f>X26*Z26/100</f>
        <v>0</v>
      </c>
      <c r="AE26" s="306"/>
      <c r="AF26" s="260"/>
      <c r="AG26" s="306"/>
      <c r="AH26" s="20">
        <f t="shared" si="3"/>
        <v>0</v>
      </c>
      <c r="AI26" s="318"/>
      <c r="AJ26" s="261"/>
      <c r="AK26" s="261"/>
      <c r="AL26" s="261"/>
      <c r="AM26" s="261"/>
      <c r="AN26" s="261"/>
      <c r="AO26" s="261"/>
      <c r="AP26" s="261"/>
      <c r="AQ26" s="306"/>
      <c r="AV26" s="18"/>
    </row>
    <row r="27" spans="1:48" ht="15" customHeight="1" x14ac:dyDescent="0.25">
      <c r="A27" s="260"/>
      <c r="B27" s="261"/>
      <c r="C27" s="261"/>
      <c r="D27" s="261"/>
      <c r="E27" s="261"/>
      <c r="F27" s="261"/>
      <c r="G27" s="261"/>
      <c r="H27" s="307"/>
      <c r="I27" s="307"/>
      <c r="J27" s="514">
        <v>14.45</v>
      </c>
      <c r="K27" s="307"/>
      <c r="L27" s="307"/>
      <c r="M27" s="307"/>
      <c r="N27" s="307"/>
      <c r="O27" s="307"/>
      <c r="P27" s="307"/>
      <c r="Q27" s="307"/>
      <c r="R27" s="307"/>
      <c r="S27" s="307"/>
      <c r="T27" s="307"/>
      <c r="U27" s="307"/>
      <c r="V27" s="307"/>
      <c r="W27" s="307"/>
      <c r="X27" s="306">
        <f t="shared" si="0"/>
        <v>14.45</v>
      </c>
      <c r="Y27" s="207" t="s">
        <v>167</v>
      </c>
      <c r="Z27" s="261">
        <v>100</v>
      </c>
      <c r="AA27" s="261"/>
      <c r="AB27" s="261"/>
      <c r="AC27" s="306"/>
      <c r="AD27" s="260">
        <f>Z27*X27/100</f>
        <v>14.45</v>
      </c>
      <c r="AE27" s="306"/>
      <c r="AF27" s="260"/>
      <c r="AG27" s="306"/>
      <c r="AH27" s="20">
        <f t="shared" si="3"/>
        <v>0</v>
      </c>
      <c r="AI27" s="318"/>
      <c r="AJ27" s="261"/>
      <c r="AK27" s="261"/>
      <c r="AL27" s="261"/>
      <c r="AM27" s="261"/>
      <c r="AN27" s="261"/>
      <c r="AO27" s="261"/>
      <c r="AP27" s="261"/>
      <c r="AQ27" s="306"/>
      <c r="AV27" s="18"/>
    </row>
    <row r="28" spans="1:48" ht="15" customHeight="1" x14ac:dyDescent="0.25">
      <c r="A28" s="260"/>
      <c r="B28" s="261"/>
      <c r="C28" s="261"/>
      <c r="D28" s="261"/>
      <c r="E28" s="261"/>
      <c r="F28" s="261"/>
      <c r="G28" s="261"/>
      <c r="H28" s="307"/>
      <c r="I28" s="307"/>
      <c r="J28" s="307"/>
      <c r="K28" s="307"/>
      <c r="L28" s="307"/>
      <c r="M28" s="307"/>
      <c r="N28" s="307"/>
      <c r="O28" s="307"/>
      <c r="P28" s="307"/>
      <c r="Q28" s="307"/>
      <c r="R28" s="307"/>
      <c r="S28" s="307"/>
      <c r="T28" s="307"/>
      <c r="U28" s="307"/>
      <c r="V28" s="307"/>
      <c r="W28" s="307"/>
      <c r="X28" s="306">
        <f t="shared" si="0"/>
        <v>0</v>
      </c>
      <c r="Y28" s="207" t="s">
        <v>168</v>
      </c>
      <c r="Z28" s="320">
        <v>100</v>
      </c>
      <c r="AA28" s="307"/>
      <c r="AB28" s="307"/>
      <c r="AC28" s="321"/>
      <c r="AD28" s="320">
        <f>Z28*X28/100</f>
        <v>0</v>
      </c>
      <c r="AE28" s="321"/>
      <c r="AF28" s="260"/>
      <c r="AG28" s="306"/>
      <c r="AH28" s="20">
        <f t="shared" si="3"/>
        <v>0</v>
      </c>
      <c r="AI28" s="318"/>
      <c r="AJ28" s="261"/>
      <c r="AK28" s="261"/>
      <c r="AL28" s="261"/>
      <c r="AM28" s="261"/>
      <c r="AN28" s="261"/>
      <c r="AO28" s="261"/>
      <c r="AP28" s="261"/>
      <c r="AQ28" s="306"/>
    </row>
    <row r="29" spans="1:48" ht="15" customHeight="1" x14ac:dyDescent="0.25">
      <c r="A29" s="260"/>
      <c r="B29" s="261"/>
      <c r="C29" s="261"/>
      <c r="D29" s="261"/>
      <c r="E29" s="261"/>
      <c r="F29" s="261"/>
      <c r="G29" s="261"/>
      <c r="H29" s="307"/>
      <c r="I29" s="307"/>
      <c r="J29" s="307"/>
      <c r="K29" s="307"/>
      <c r="L29" s="307"/>
      <c r="M29" s="307"/>
      <c r="N29" s="307"/>
      <c r="O29" s="307"/>
      <c r="P29" s="307"/>
      <c r="Q29" s="307"/>
      <c r="R29" s="307"/>
      <c r="S29" s="307"/>
      <c r="T29" s="307"/>
      <c r="U29" s="307"/>
      <c r="V29" s="307"/>
      <c r="W29" s="307"/>
      <c r="X29" s="306">
        <f t="shared" si="0"/>
        <v>0</v>
      </c>
      <c r="Y29" s="207" t="s">
        <v>169</v>
      </c>
      <c r="Z29" s="307">
        <v>100</v>
      </c>
      <c r="AA29" s="307"/>
      <c r="AB29" s="307"/>
      <c r="AC29" s="321"/>
      <c r="AD29" s="320">
        <f>Z29*X29/100</f>
        <v>0</v>
      </c>
      <c r="AE29" s="321"/>
      <c r="AF29" s="260"/>
      <c r="AG29" s="306"/>
      <c r="AH29" s="20">
        <f t="shared" si="3"/>
        <v>0</v>
      </c>
      <c r="AI29" s="318"/>
      <c r="AJ29" s="261"/>
      <c r="AK29" s="261"/>
      <c r="AL29" s="261"/>
      <c r="AM29" s="261"/>
      <c r="AN29" s="261"/>
      <c r="AO29" s="261"/>
      <c r="AP29" s="261"/>
      <c r="AQ29" s="306"/>
    </row>
    <row r="30" spans="1:48" ht="15" customHeight="1" x14ac:dyDescent="0.25">
      <c r="A30" s="260"/>
      <c r="B30" s="261"/>
      <c r="C30" s="261"/>
      <c r="D30" s="261"/>
      <c r="E30" s="261"/>
      <c r="F30" s="261"/>
      <c r="G30" s="261"/>
      <c r="H30" s="307"/>
      <c r="I30" s="307"/>
      <c r="J30" s="307"/>
      <c r="K30" s="307"/>
      <c r="L30" s="307"/>
      <c r="M30" s="307"/>
      <c r="N30" s="307"/>
      <c r="O30" s="307"/>
      <c r="P30" s="307"/>
      <c r="Q30" s="307"/>
      <c r="R30" s="307"/>
      <c r="S30" s="307"/>
      <c r="T30" s="307"/>
      <c r="U30" s="307"/>
      <c r="V30" s="307"/>
      <c r="W30" s="307"/>
      <c r="X30" s="306">
        <f t="shared" si="0"/>
        <v>0</v>
      </c>
      <c r="Y30" s="207" t="s">
        <v>170</v>
      </c>
      <c r="Z30" s="307">
        <v>100</v>
      </c>
      <c r="AA30" s="307"/>
      <c r="AB30" s="307"/>
      <c r="AC30" s="321"/>
      <c r="AD30" s="320">
        <f>Z30*X30/100</f>
        <v>0</v>
      </c>
      <c r="AE30" s="321"/>
      <c r="AF30" s="260"/>
      <c r="AG30" s="306"/>
      <c r="AH30" s="20">
        <f t="shared" si="3"/>
        <v>0</v>
      </c>
      <c r="AI30" s="318"/>
      <c r="AJ30" s="261"/>
      <c r="AK30" s="261"/>
      <c r="AL30" s="261"/>
      <c r="AM30" s="261"/>
      <c r="AN30" s="261"/>
      <c r="AO30" s="261"/>
      <c r="AP30" s="261"/>
      <c r="AQ30" s="306"/>
    </row>
    <row r="31" spans="1:48" s="488" customFormat="1" ht="15" customHeight="1" x14ac:dyDescent="0.3">
      <c r="A31" s="515"/>
      <c r="B31" s="261"/>
      <c r="C31" s="261"/>
      <c r="D31" s="261"/>
      <c r="E31" s="261"/>
      <c r="F31" s="261"/>
      <c r="G31" s="261"/>
      <c r="H31" s="307"/>
      <c r="I31" s="307"/>
      <c r="J31" s="307"/>
      <c r="K31" s="307"/>
      <c r="L31" s="307"/>
      <c r="M31" s="307"/>
      <c r="N31" s="307"/>
      <c r="O31" s="307"/>
      <c r="P31" s="307"/>
      <c r="Q31" s="307"/>
      <c r="R31" s="307"/>
      <c r="S31" s="307"/>
      <c r="T31" s="307"/>
      <c r="U31" s="174"/>
      <c r="V31" s="174"/>
      <c r="W31" s="174"/>
      <c r="X31" s="306">
        <f t="shared" si="0"/>
        <v>0</v>
      </c>
      <c r="Y31" s="484" t="s">
        <v>171</v>
      </c>
      <c r="Z31" s="510"/>
      <c r="AA31" s="174"/>
      <c r="AB31" s="174"/>
      <c r="AC31" s="431"/>
      <c r="AD31" s="516"/>
      <c r="AE31" s="431"/>
      <c r="AF31" s="517"/>
      <c r="AG31" s="518"/>
      <c r="AH31" s="487"/>
      <c r="AI31" s="515"/>
      <c r="AJ31" s="519"/>
      <c r="AK31" s="519"/>
      <c r="AL31" s="519"/>
      <c r="AM31" s="519"/>
      <c r="AN31" s="519"/>
      <c r="AO31" s="519"/>
      <c r="AP31" s="519"/>
      <c r="AQ31" s="518"/>
    </row>
    <row r="32" spans="1:48" ht="15" customHeight="1" x14ac:dyDescent="0.3">
      <c r="A32" s="261"/>
      <c r="B32" s="261"/>
      <c r="C32" s="520"/>
      <c r="D32" s="520"/>
      <c r="E32" s="520"/>
      <c r="F32" s="520"/>
      <c r="G32" s="520"/>
      <c r="H32" s="521"/>
      <c r="I32" s="521"/>
      <c r="J32" s="521"/>
      <c r="K32" s="521"/>
      <c r="L32" s="521"/>
      <c r="M32" s="521"/>
      <c r="N32" s="174"/>
      <c r="O32" s="521"/>
      <c r="P32" s="521"/>
      <c r="Q32" s="521"/>
      <c r="R32" s="521"/>
      <c r="S32" s="521"/>
      <c r="T32" s="521"/>
      <c r="U32" s="521"/>
      <c r="V32" s="521"/>
      <c r="W32" s="521"/>
      <c r="X32" s="306">
        <f t="shared" si="0"/>
        <v>0</v>
      </c>
      <c r="Y32" s="484" t="s">
        <v>172</v>
      </c>
      <c r="Z32" s="516">
        <v>25</v>
      </c>
      <c r="AA32" s="174">
        <v>50</v>
      </c>
      <c r="AB32" s="174"/>
      <c r="AC32" s="431"/>
      <c r="AD32" s="320">
        <f>X32*Z32/100</f>
        <v>0</v>
      </c>
      <c r="AE32" s="321"/>
      <c r="AF32" s="320">
        <f>X32*AB32/100</f>
        <v>0</v>
      </c>
      <c r="AG32" s="321"/>
      <c r="AH32" s="20">
        <f>SUM(AI32:AQ32)</f>
        <v>0</v>
      </c>
      <c r="AI32" s="318"/>
      <c r="AJ32" s="174"/>
      <c r="AK32" s="519"/>
      <c r="AL32" s="519"/>
      <c r="AM32" s="519"/>
      <c r="AN32" s="519"/>
      <c r="AO32" s="519"/>
      <c r="AP32" s="174"/>
      <c r="AQ32" s="306"/>
    </row>
    <row r="33" spans="1:44" ht="15" customHeight="1" x14ac:dyDescent="0.3">
      <c r="A33" s="261"/>
      <c r="B33" s="261"/>
      <c r="C33" s="522">
        <v>2010.9</v>
      </c>
      <c r="D33" s="521"/>
      <c r="E33" s="521"/>
      <c r="F33" s="521"/>
      <c r="G33" s="521"/>
      <c r="H33" s="521"/>
      <c r="I33" s="521"/>
      <c r="J33" s="521"/>
      <c r="K33" s="521"/>
      <c r="L33" s="521"/>
      <c r="M33" s="521"/>
      <c r="N33" s="521"/>
      <c r="O33" s="521">
        <f>7.7*46%</f>
        <v>3.5420000000000003</v>
      </c>
      <c r="P33" s="521"/>
      <c r="Q33" s="521"/>
      <c r="R33" s="521"/>
      <c r="S33" s="521"/>
      <c r="T33" s="521">
        <f>7.7*54%</f>
        <v>4.1580000000000004</v>
      </c>
      <c r="U33" s="521"/>
      <c r="V33" s="521"/>
      <c r="W33" s="521"/>
      <c r="X33" s="306">
        <f t="shared" si="0"/>
        <v>2018.6</v>
      </c>
      <c r="Y33" s="207" t="s">
        <v>173</v>
      </c>
      <c r="Z33" s="516">
        <v>21.32</v>
      </c>
      <c r="AA33" s="174"/>
      <c r="AB33" s="174">
        <v>81.39</v>
      </c>
      <c r="AC33" s="321"/>
      <c r="AD33" s="320">
        <f>X33*Z33/100</f>
        <v>430.36551999999995</v>
      </c>
      <c r="AE33" s="321"/>
      <c r="AF33" s="260">
        <f>X33*AB33/100</f>
        <v>1642.9385399999999</v>
      </c>
      <c r="AG33" s="306"/>
      <c r="AH33" s="20">
        <f t="shared" si="3"/>
        <v>0</v>
      </c>
      <c r="AI33" s="318"/>
      <c r="AJ33" s="261"/>
      <c r="AK33" s="261"/>
      <c r="AL33" s="261"/>
      <c r="AM33" s="261"/>
      <c r="AN33" s="261"/>
      <c r="AO33" s="261"/>
      <c r="AP33" s="261"/>
      <c r="AQ33" s="306"/>
    </row>
    <row r="34" spans="1:44" ht="15" customHeight="1" x14ac:dyDescent="0.3">
      <c r="A34" s="261"/>
      <c r="B34" s="261"/>
      <c r="C34" s="521"/>
      <c r="D34" s="521"/>
      <c r="E34" s="521"/>
      <c r="F34" s="521"/>
      <c r="G34" s="521"/>
      <c r="H34" s="521"/>
      <c r="I34" s="521"/>
      <c r="J34" s="521"/>
      <c r="K34" s="521"/>
      <c r="L34" s="521"/>
      <c r="M34" s="521"/>
      <c r="N34" s="521"/>
      <c r="O34" s="521"/>
      <c r="P34" s="521"/>
      <c r="Q34" s="521"/>
      <c r="R34" s="521"/>
      <c r="S34" s="521"/>
      <c r="T34" s="521"/>
      <c r="U34" s="521"/>
      <c r="V34" s="521"/>
      <c r="W34" s="521"/>
      <c r="X34" s="306">
        <f t="shared" si="0"/>
        <v>0</v>
      </c>
      <c r="Y34" s="207" t="s">
        <v>174</v>
      </c>
      <c r="Z34" s="516"/>
      <c r="AA34" s="174"/>
      <c r="AB34" s="174">
        <v>0</v>
      </c>
      <c r="AC34" s="321"/>
      <c r="AD34" s="320">
        <f>X34*Z34/100</f>
        <v>0</v>
      </c>
      <c r="AE34" s="321"/>
      <c r="AF34" s="260">
        <f>X34*AB34</f>
        <v>0</v>
      </c>
      <c r="AG34" s="306"/>
      <c r="AH34" s="20">
        <f t="shared" si="3"/>
        <v>0</v>
      </c>
      <c r="AI34" s="318"/>
      <c r="AJ34" s="261"/>
      <c r="AK34" s="261"/>
      <c r="AL34" s="261"/>
      <c r="AM34" s="261"/>
      <c r="AN34" s="261"/>
      <c r="AO34" s="261"/>
      <c r="AP34" s="261"/>
      <c r="AQ34" s="306"/>
    </row>
    <row r="35" spans="1:44" ht="15" customHeight="1" x14ac:dyDescent="0.3">
      <c r="A35" s="261"/>
      <c r="B35" s="261"/>
      <c r="C35" s="521"/>
      <c r="D35" s="521"/>
      <c r="E35" s="523"/>
      <c r="F35" s="521"/>
      <c r="G35" s="521"/>
      <c r="H35" s="521"/>
      <c r="I35" s="521"/>
      <c r="J35" s="521"/>
      <c r="K35" s="521"/>
      <c r="L35" s="521"/>
      <c r="M35" s="521"/>
      <c r="N35" s="521"/>
      <c r="O35" s="521"/>
      <c r="P35" s="521"/>
      <c r="Q35" s="521"/>
      <c r="R35" s="521"/>
      <c r="S35" s="521"/>
      <c r="T35" s="521"/>
      <c r="U35" s="521"/>
      <c r="V35" s="521"/>
      <c r="W35" s="521"/>
      <c r="X35" s="306">
        <f t="shared" si="0"/>
        <v>0</v>
      </c>
      <c r="Y35" s="207" t="s">
        <v>175</v>
      </c>
      <c r="Z35" s="516"/>
      <c r="AA35" s="174"/>
      <c r="AB35" s="174">
        <v>0</v>
      </c>
      <c r="AC35" s="321"/>
      <c r="AD35" s="320">
        <f>X35*Z35/100</f>
        <v>0</v>
      </c>
      <c r="AE35" s="321"/>
      <c r="AF35" s="260">
        <f>X35*AB35</f>
        <v>0</v>
      </c>
      <c r="AG35" s="306"/>
      <c r="AH35" s="20">
        <f t="shared" si="3"/>
        <v>0</v>
      </c>
      <c r="AI35" s="318"/>
      <c r="AJ35" s="261"/>
      <c r="AK35" s="261"/>
      <c r="AL35" s="261"/>
      <c r="AM35" s="261"/>
      <c r="AN35" s="261"/>
      <c r="AO35" s="261"/>
      <c r="AP35" s="261"/>
      <c r="AQ35" s="306"/>
    </row>
    <row r="36" spans="1:44" ht="15" customHeight="1" x14ac:dyDescent="0.3">
      <c r="A36" s="261"/>
      <c r="B36" s="261"/>
      <c r="C36" s="521"/>
      <c r="D36" s="521">
        <v>150.19999999999999</v>
      </c>
      <c r="E36" s="521">
        <v>32</v>
      </c>
      <c r="F36" s="521"/>
      <c r="G36" s="521"/>
      <c r="H36" s="521"/>
      <c r="I36" s="521"/>
      <c r="J36" s="521"/>
      <c r="K36" s="521"/>
      <c r="L36" s="521"/>
      <c r="M36" s="521"/>
      <c r="N36" s="521"/>
      <c r="O36" s="521"/>
      <c r="P36" s="521"/>
      <c r="Q36" s="521"/>
      <c r="R36" s="521"/>
      <c r="S36" s="521"/>
      <c r="T36" s="521"/>
      <c r="U36" s="521"/>
      <c r="V36" s="521"/>
      <c r="W36" s="521"/>
      <c r="X36" s="306">
        <f t="shared" si="0"/>
        <v>182.2</v>
      </c>
      <c r="Y36" s="207" t="s">
        <v>176</v>
      </c>
      <c r="Z36" s="516"/>
      <c r="AA36" s="174"/>
      <c r="AB36" s="174">
        <v>90.01</v>
      </c>
      <c r="AC36" s="321"/>
      <c r="AD36" s="320"/>
      <c r="AE36" s="321"/>
      <c r="AF36" s="260">
        <f>X36*AB36/100</f>
        <v>163.99822</v>
      </c>
      <c r="AG36" s="306"/>
      <c r="AH36" s="20">
        <f t="shared" si="3"/>
        <v>0</v>
      </c>
      <c r="AI36" s="318"/>
      <c r="AJ36" s="261"/>
      <c r="AK36" s="261"/>
      <c r="AL36" s="261"/>
      <c r="AM36" s="261"/>
      <c r="AN36" s="261"/>
      <c r="AO36" s="261"/>
      <c r="AP36" s="261"/>
      <c r="AQ36" s="306"/>
    </row>
    <row r="37" spans="1:44" s="488" customFormat="1" ht="15" customHeight="1" x14ac:dyDescent="0.3">
      <c r="A37" s="519"/>
      <c r="B37" s="519"/>
      <c r="C37" s="519"/>
      <c r="D37" s="174"/>
      <c r="E37" s="174"/>
      <c r="F37" s="174"/>
      <c r="G37" s="174"/>
      <c r="H37" s="174"/>
      <c r="I37" s="174"/>
      <c r="J37" s="174"/>
      <c r="K37" s="174"/>
      <c r="L37" s="174"/>
      <c r="M37" s="174"/>
      <c r="N37" s="307"/>
      <c r="O37" s="174"/>
      <c r="P37" s="174"/>
      <c r="Q37" s="174"/>
      <c r="R37" s="174"/>
      <c r="S37" s="174"/>
      <c r="T37" s="174"/>
      <c r="U37" s="174"/>
      <c r="V37" s="174"/>
      <c r="W37" s="174"/>
      <c r="X37" s="306">
        <f t="shared" si="0"/>
        <v>0</v>
      </c>
      <c r="Y37" s="484" t="s">
        <v>177</v>
      </c>
      <c r="Z37" s="320"/>
      <c r="AA37" s="307"/>
      <c r="AB37" s="307"/>
      <c r="AC37" s="321"/>
      <c r="AD37" s="516">
        <f>-AE37/$D$2%</f>
        <v>0</v>
      </c>
      <c r="AE37" s="322"/>
      <c r="AF37" s="351">
        <f>AE37*AB37%</f>
        <v>0</v>
      </c>
      <c r="AG37" s="518"/>
      <c r="AH37" s="487"/>
      <c r="AI37" s="515"/>
      <c r="AJ37" s="515"/>
      <c r="AK37" s="519"/>
      <c r="AL37" s="519"/>
      <c r="AM37" s="519"/>
      <c r="AN37" s="519"/>
      <c r="AO37" s="519"/>
      <c r="AP37" s="519"/>
      <c r="AQ37" s="518"/>
    </row>
    <row r="38" spans="1:44" ht="15" customHeight="1" x14ac:dyDescent="0.3">
      <c r="A38" s="519"/>
      <c r="B38" s="519"/>
      <c r="C38" s="519"/>
      <c r="D38" s="174"/>
      <c r="E38" s="174"/>
      <c r="F38" s="174"/>
      <c r="G38" s="174"/>
      <c r="H38" s="174"/>
      <c r="I38" s="174"/>
      <c r="J38" s="174"/>
      <c r="K38" s="174"/>
      <c r="L38" s="174"/>
      <c r="M38" s="174"/>
      <c r="N38" s="174"/>
      <c r="O38" s="174"/>
      <c r="P38" s="174"/>
      <c r="Q38" s="174"/>
      <c r="R38" s="174"/>
      <c r="S38" s="174"/>
      <c r="T38" s="174"/>
      <c r="U38" s="174"/>
      <c r="V38" s="174"/>
      <c r="W38" s="174"/>
      <c r="X38" s="306">
        <f t="shared" si="0"/>
        <v>0</v>
      </c>
      <c r="Y38" s="484" t="s">
        <v>178</v>
      </c>
      <c r="Z38" s="320"/>
      <c r="AA38" s="307"/>
      <c r="AB38" s="307"/>
      <c r="AC38" s="321"/>
      <c r="AD38" s="516">
        <f>-AE38/$D$2%</f>
        <v>0</v>
      </c>
      <c r="AE38" s="321"/>
      <c r="AF38" s="320">
        <f>AE38*AB38%</f>
        <v>0</v>
      </c>
      <c r="AG38" s="518"/>
      <c r="AH38" s="487"/>
      <c r="AI38" s="515"/>
      <c r="AJ38" s="515"/>
      <c r="AK38" s="519"/>
      <c r="AL38" s="519"/>
      <c r="AM38" s="519"/>
      <c r="AN38" s="519"/>
      <c r="AO38" s="519"/>
      <c r="AP38" s="519"/>
      <c r="AQ38" s="518"/>
    </row>
    <row r="39" spans="1:44" ht="15" customHeight="1" x14ac:dyDescent="0.3">
      <c r="A39" s="261"/>
      <c r="B39" s="261"/>
      <c r="C39" s="521"/>
      <c r="D39" s="521"/>
      <c r="E39" s="521"/>
      <c r="F39" s="521"/>
      <c r="G39" s="521"/>
      <c r="H39" s="521"/>
      <c r="I39" s="521"/>
      <c r="J39" s="521"/>
      <c r="K39" s="521"/>
      <c r="L39" s="521"/>
      <c r="M39" s="521"/>
      <c r="N39" s="521"/>
      <c r="O39" s="521"/>
      <c r="P39" s="521"/>
      <c r="Q39" s="521"/>
      <c r="R39" s="521"/>
      <c r="S39" s="521"/>
      <c r="T39" s="521"/>
      <c r="U39" s="521"/>
      <c r="V39" s="521"/>
      <c r="W39" s="521"/>
      <c r="X39" s="306">
        <f t="shared" si="0"/>
        <v>0</v>
      </c>
      <c r="Y39" s="207" t="s">
        <v>179</v>
      </c>
      <c r="Z39" s="516"/>
      <c r="AA39" s="174"/>
      <c r="AB39" s="174"/>
      <c r="AC39" s="431">
        <f>100-25</f>
        <v>75</v>
      </c>
      <c r="AD39" s="320"/>
      <c r="AE39" s="321"/>
      <c r="AF39" s="260">
        <f>-SUM(AF33:AF36)</f>
        <v>-1806.9367599999998</v>
      </c>
      <c r="AG39" s="306">
        <f>-AF39*AC39/100</f>
        <v>1355.2025699999999</v>
      </c>
      <c r="AH39" s="20">
        <f>SUM(AI39:AQ39)</f>
        <v>1355.2025699999997</v>
      </c>
      <c r="AI39" s="318">
        <f>AG39*62.71%</f>
        <v>849.84753164699998</v>
      </c>
      <c r="AJ39" s="318">
        <f>AG39*9.72%</f>
        <v>131.72568980400001</v>
      </c>
      <c r="AK39" s="261">
        <f>AG39*12.13%</f>
        <v>164.38607174099999</v>
      </c>
      <c r="AL39" s="261">
        <f>AG39*7.13%</f>
        <v>96.625943241000002</v>
      </c>
      <c r="AM39" s="261">
        <f>AG39*0%</f>
        <v>0</v>
      </c>
      <c r="AN39" s="261">
        <f>AG39*6.34%</f>
        <v>85.919842937999988</v>
      </c>
      <c r="AO39" s="261">
        <f>AG39*1.97%</f>
        <v>26.697490628999997</v>
      </c>
      <c r="AP39" s="261"/>
      <c r="AQ39" s="306"/>
      <c r="AR39" s="22"/>
    </row>
    <row r="40" spans="1:44" ht="15" customHeight="1" x14ac:dyDescent="0.3">
      <c r="A40" s="261"/>
      <c r="B40" s="261"/>
      <c r="C40" s="521"/>
      <c r="D40" s="521"/>
      <c r="E40" s="521"/>
      <c r="F40" s="521"/>
      <c r="G40" s="521"/>
      <c r="H40" s="521"/>
      <c r="I40" s="521"/>
      <c r="J40" s="521"/>
      <c r="K40" s="521"/>
      <c r="L40" s="521"/>
      <c r="M40" s="521"/>
      <c r="N40" s="521"/>
      <c r="O40" s="521"/>
      <c r="P40" s="521"/>
      <c r="Q40" s="521"/>
      <c r="R40" s="521"/>
      <c r="S40" s="521"/>
      <c r="T40" s="521"/>
      <c r="U40" s="521"/>
      <c r="V40" s="521"/>
      <c r="W40" s="521"/>
      <c r="X40" s="306">
        <f t="shared" si="0"/>
        <v>0</v>
      </c>
      <c r="Y40" s="207" t="s">
        <v>180</v>
      </c>
      <c r="Z40" s="516"/>
      <c r="AA40" s="174"/>
      <c r="AB40" s="174"/>
      <c r="AC40" s="431"/>
      <c r="AD40" s="320">
        <f>X40*Z40/100</f>
        <v>0</v>
      </c>
      <c r="AE40" s="321"/>
      <c r="AF40" s="260">
        <f>X40*AB40/100</f>
        <v>0</v>
      </c>
      <c r="AG40" s="306"/>
      <c r="AH40" s="20">
        <f t="shared" si="3"/>
        <v>0</v>
      </c>
      <c r="AI40" s="515"/>
      <c r="AJ40" s="519"/>
      <c r="AK40" s="519"/>
      <c r="AL40" s="519"/>
      <c r="AM40" s="519"/>
      <c r="AN40" s="519"/>
      <c r="AO40" s="519"/>
      <c r="AP40" s="261"/>
      <c r="AQ40" s="306"/>
    </row>
    <row r="41" spans="1:44" ht="15" customHeight="1" x14ac:dyDescent="0.3">
      <c r="A41" s="261"/>
      <c r="B41" s="261"/>
      <c r="C41" s="521"/>
      <c r="D41" s="521"/>
      <c r="E41" s="521"/>
      <c r="F41" s="521"/>
      <c r="G41" s="521"/>
      <c r="H41" s="521"/>
      <c r="I41" s="521"/>
      <c r="J41" s="521"/>
      <c r="K41" s="521"/>
      <c r="L41" s="521"/>
      <c r="M41" s="521"/>
      <c r="N41" s="521"/>
      <c r="O41" s="521"/>
      <c r="P41" s="521"/>
      <c r="Q41" s="521"/>
      <c r="R41" s="521"/>
      <c r="S41" s="521"/>
      <c r="T41" s="521"/>
      <c r="U41" s="521"/>
      <c r="V41" s="521"/>
      <c r="W41" s="521"/>
      <c r="X41" s="306">
        <f t="shared" si="0"/>
        <v>0</v>
      </c>
      <c r="Y41" s="207" t="s">
        <v>181</v>
      </c>
      <c r="Z41" s="516"/>
      <c r="AA41" s="174"/>
      <c r="AB41" s="174"/>
      <c r="AC41" s="431"/>
      <c r="AD41" s="320">
        <f>X41*Z41/100</f>
        <v>0</v>
      </c>
      <c r="AE41" s="321"/>
      <c r="AF41" s="260">
        <f>X41*AB41/100</f>
        <v>0</v>
      </c>
      <c r="AG41" s="306"/>
      <c r="AH41" s="20">
        <f t="shared" si="3"/>
        <v>0</v>
      </c>
      <c r="AI41" s="515"/>
      <c r="AJ41" s="519"/>
      <c r="AK41" s="519"/>
      <c r="AL41" s="519"/>
      <c r="AM41" s="519"/>
      <c r="AN41" s="519"/>
      <c r="AO41" s="519"/>
      <c r="AP41" s="261"/>
      <c r="AQ41" s="306"/>
    </row>
    <row r="42" spans="1:44" ht="15" customHeight="1" x14ac:dyDescent="0.3">
      <c r="A42" s="261"/>
      <c r="B42" s="261"/>
      <c r="C42" s="521"/>
      <c r="D42" s="521"/>
      <c r="E42" s="521"/>
      <c r="F42" s="521"/>
      <c r="G42" s="521"/>
      <c r="H42" s="521"/>
      <c r="I42" s="521"/>
      <c r="J42" s="521"/>
      <c r="K42" s="521"/>
      <c r="L42" s="521"/>
      <c r="M42" s="521"/>
      <c r="N42" s="521"/>
      <c r="O42" s="521"/>
      <c r="P42" s="521"/>
      <c r="Q42" s="521"/>
      <c r="R42" s="521"/>
      <c r="S42" s="521"/>
      <c r="T42" s="521"/>
      <c r="U42" s="521"/>
      <c r="V42" s="521"/>
      <c r="W42" s="521"/>
      <c r="X42" s="306">
        <f t="shared" si="0"/>
        <v>0</v>
      </c>
      <c r="Y42" s="207" t="s">
        <v>182</v>
      </c>
      <c r="Z42" s="516"/>
      <c r="AA42" s="174"/>
      <c r="AB42" s="174"/>
      <c r="AC42" s="431"/>
      <c r="AD42" s="320">
        <f>X42*Z42/100</f>
        <v>0</v>
      </c>
      <c r="AE42" s="321"/>
      <c r="AF42" s="260">
        <f>X42*AB42/100</f>
        <v>0</v>
      </c>
      <c r="AG42" s="306"/>
      <c r="AH42" s="20">
        <f t="shared" si="3"/>
        <v>0</v>
      </c>
      <c r="AI42" s="515"/>
      <c r="AJ42" s="519"/>
      <c r="AK42" s="519"/>
      <c r="AL42" s="519"/>
      <c r="AM42" s="519"/>
      <c r="AN42" s="519"/>
      <c r="AO42" s="519"/>
      <c r="AP42" s="261"/>
      <c r="AQ42" s="306"/>
    </row>
    <row r="43" spans="1:44" ht="15" customHeight="1" x14ac:dyDescent="0.3">
      <c r="A43" s="261"/>
      <c r="B43" s="261"/>
      <c r="C43" s="521"/>
      <c r="D43" s="521"/>
      <c r="E43" s="521"/>
      <c r="F43" s="521"/>
      <c r="G43" s="521"/>
      <c r="H43" s="521"/>
      <c r="I43" s="521"/>
      <c r="J43" s="521"/>
      <c r="K43" s="521"/>
      <c r="L43" s="521"/>
      <c r="M43" s="521"/>
      <c r="N43" s="521"/>
      <c r="O43" s="521"/>
      <c r="P43" s="521"/>
      <c r="Q43" s="521"/>
      <c r="R43" s="521"/>
      <c r="S43" s="521"/>
      <c r="T43" s="521"/>
      <c r="U43" s="521"/>
      <c r="V43" s="521"/>
      <c r="W43" s="521"/>
      <c r="X43" s="306">
        <f t="shared" si="0"/>
        <v>0</v>
      </c>
      <c r="Y43" s="207" t="s">
        <v>183</v>
      </c>
      <c r="Z43" s="516"/>
      <c r="AA43" s="174"/>
      <c r="AB43" s="174"/>
      <c r="AC43" s="431">
        <f>100-25</f>
        <v>75</v>
      </c>
      <c r="AD43" s="320"/>
      <c r="AE43" s="321"/>
      <c r="AF43" s="260">
        <f>-SUM(AF40:AF42)</f>
        <v>0</v>
      </c>
      <c r="AG43" s="306">
        <f>-AF43*AC43/100</f>
        <v>0</v>
      </c>
      <c r="AH43" s="20">
        <f t="shared" si="3"/>
        <v>0</v>
      </c>
      <c r="AI43" s="318">
        <f>AG43*62.71%</f>
        <v>0</v>
      </c>
      <c r="AJ43" s="318">
        <f>AG43*9.72%</f>
        <v>0</v>
      </c>
      <c r="AK43" s="261">
        <f>AG43*12.13%</f>
        <v>0</v>
      </c>
      <c r="AL43" s="261">
        <f>AG43*7.13%</f>
        <v>0</v>
      </c>
      <c r="AM43" s="261">
        <f>AG43*0%</f>
        <v>0</v>
      </c>
      <c r="AN43" s="261">
        <f>AG43*6.34%</f>
        <v>0</v>
      </c>
      <c r="AO43" s="261">
        <f>AG43*1.97%</f>
        <v>0</v>
      </c>
      <c r="AP43" s="261"/>
      <c r="AQ43" s="306"/>
    </row>
    <row r="44" spans="1:44" ht="15" customHeight="1" x14ac:dyDescent="0.3">
      <c r="A44" s="261"/>
      <c r="B44" s="261"/>
      <c r="C44" s="524"/>
      <c r="D44" s="521"/>
      <c r="E44" s="524"/>
      <c r="F44" s="521"/>
      <c r="G44" s="521"/>
      <c r="H44" s="521"/>
      <c r="I44" s="490"/>
      <c r="J44" s="521"/>
      <c r="K44" s="521"/>
      <c r="L44" s="521"/>
      <c r="M44" s="521"/>
      <c r="N44" s="521"/>
      <c r="O44" s="521"/>
      <c r="P44" s="521"/>
      <c r="Q44" s="524"/>
      <c r="R44" s="521"/>
      <c r="S44" s="521"/>
      <c r="T44" s="521"/>
      <c r="U44" s="521"/>
      <c r="V44" s="521"/>
      <c r="W44" s="521"/>
      <c r="X44" s="306">
        <f t="shared" si="0"/>
        <v>0</v>
      </c>
      <c r="Y44" s="207" t="s">
        <v>184</v>
      </c>
      <c r="Z44" s="516"/>
      <c r="AA44" s="174"/>
      <c r="AB44" s="174"/>
      <c r="AC44" s="431"/>
      <c r="AD44" s="260">
        <f>X44*Z44/100</f>
        <v>0</v>
      </c>
      <c r="AE44" s="306"/>
      <c r="AF44" s="260">
        <f t="shared" ref="AF44:AF51" si="5">X44*AB44/100</f>
        <v>0</v>
      </c>
      <c r="AG44" s="306"/>
      <c r="AH44" s="20">
        <f t="shared" si="3"/>
        <v>0</v>
      </c>
      <c r="AI44" s="318"/>
      <c r="AJ44" s="261"/>
      <c r="AK44" s="261"/>
      <c r="AL44" s="261"/>
      <c r="AM44" s="261"/>
      <c r="AN44" s="261"/>
      <c r="AO44" s="261"/>
      <c r="AP44" s="261"/>
      <c r="AQ44" s="306"/>
    </row>
    <row r="45" spans="1:44" ht="15" customHeight="1" x14ac:dyDescent="0.3">
      <c r="A45" s="261"/>
      <c r="B45" s="261"/>
      <c r="C45" s="521"/>
      <c r="D45" s="521"/>
      <c r="E45" s="521"/>
      <c r="F45" s="521"/>
      <c r="G45" s="521"/>
      <c r="H45" s="521"/>
      <c r="I45" s="521"/>
      <c r="J45" s="521"/>
      <c r="K45" s="521"/>
      <c r="L45" s="521"/>
      <c r="M45" s="521"/>
      <c r="N45" s="521"/>
      <c r="O45" s="521"/>
      <c r="P45" s="521"/>
      <c r="Q45" s="521"/>
      <c r="R45" s="521"/>
      <c r="S45" s="521"/>
      <c r="T45" s="521"/>
      <c r="U45" s="521"/>
      <c r="V45" s="521"/>
      <c r="W45" s="521"/>
      <c r="X45" s="306">
        <f t="shared" si="0"/>
        <v>0</v>
      </c>
      <c r="Y45" s="207" t="s">
        <v>185</v>
      </c>
      <c r="Z45" s="516"/>
      <c r="AA45" s="174"/>
      <c r="AB45" s="174"/>
      <c r="AC45" s="431"/>
      <c r="AD45" s="260">
        <f>X45*Z45/100</f>
        <v>0</v>
      </c>
      <c r="AE45" s="306"/>
      <c r="AF45" s="260">
        <f t="shared" si="5"/>
        <v>0</v>
      </c>
      <c r="AG45" s="306"/>
      <c r="AH45" s="20">
        <f t="shared" si="3"/>
        <v>0</v>
      </c>
      <c r="AI45" s="318"/>
      <c r="AJ45" s="261"/>
      <c r="AK45" s="261"/>
      <c r="AL45" s="261"/>
      <c r="AM45" s="261"/>
      <c r="AN45" s="261"/>
      <c r="AO45" s="261"/>
      <c r="AP45" s="261"/>
      <c r="AQ45" s="306"/>
    </row>
    <row r="46" spans="1:44" ht="15" customHeight="1" x14ac:dyDescent="0.3">
      <c r="A46" s="261"/>
      <c r="B46" s="261"/>
      <c r="C46" s="521"/>
      <c r="D46" s="521"/>
      <c r="E46" s="521"/>
      <c r="F46" s="521"/>
      <c r="G46" s="521"/>
      <c r="H46" s="521"/>
      <c r="I46" s="521"/>
      <c r="J46" s="521"/>
      <c r="K46" s="521"/>
      <c r="L46" s="521"/>
      <c r="M46" s="521"/>
      <c r="N46" s="521"/>
      <c r="O46" s="521"/>
      <c r="P46" s="521"/>
      <c r="Q46" s="521"/>
      <c r="R46" s="521"/>
      <c r="S46" s="523"/>
      <c r="T46" s="521"/>
      <c r="U46" s="521"/>
      <c r="V46" s="521"/>
      <c r="W46" s="521"/>
      <c r="X46" s="306">
        <f t="shared" si="0"/>
        <v>0</v>
      </c>
      <c r="Y46" s="207" t="s">
        <v>186</v>
      </c>
      <c r="Z46" s="516"/>
      <c r="AA46" s="174"/>
      <c r="AB46" s="174"/>
      <c r="AC46" s="431"/>
      <c r="AD46" s="260">
        <f>X46*Z46/100</f>
        <v>0</v>
      </c>
      <c r="AE46" s="306"/>
      <c r="AF46" s="260">
        <f t="shared" si="5"/>
        <v>0</v>
      </c>
      <c r="AG46" s="306"/>
      <c r="AH46" s="20">
        <f t="shared" si="3"/>
        <v>0</v>
      </c>
      <c r="AI46" s="318"/>
      <c r="AJ46" s="261"/>
      <c r="AK46" s="261"/>
      <c r="AL46" s="261"/>
      <c r="AM46" s="261"/>
      <c r="AN46" s="261"/>
      <c r="AO46" s="261"/>
      <c r="AP46" s="261"/>
      <c r="AQ46" s="306"/>
    </row>
    <row r="47" spans="1:44" ht="15" customHeight="1" x14ac:dyDescent="0.3">
      <c r="A47" s="261"/>
      <c r="B47" s="261"/>
      <c r="C47" s="521"/>
      <c r="D47" s="521"/>
      <c r="E47" s="521"/>
      <c r="F47" s="521"/>
      <c r="G47" s="521"/>
      <c r="H47" s="521"/>
      <c r="I47" s="521"/>
      <c r="J47" s="521"/>
      <c r="K47" s="521"/>
      <c r="L47" s="521"/>
      <c r="M47" s="521"/>
      <c r="N47" s="521"/>
      <c r="O47" s="521"/>
      <c r="P47" s="521"/>
      <c r="Q47" s="521"/>
      <c r="R47" s="521"/>
      <c r="S47" s="521"/>
      <c r="T47" s="521"/>
      <c r="U47" s="521"/>
      <c r="V47" s="521"/>
      <c r="W47" s="521"/>
      <c r="X47" s="306">
        <f t="shared" si="0"/>
        <v>0</v>
      </c>
      <c r="Y47" s="207" t="s">
        <v>187</v>
      </c>
      <c r="Z47" s="516"/>
      <c r="AA47" s="174"/>
      <c r="AB47" s="174"/>
      <c r="AC47" s="431"/>
      <c r="AD47" s="260">
        <f>X47*Z47/100</f>
        <v>0</v>
      </c>
      <c r="AE47" s="306"/>
      <c r="AF47" s="260">
        <f t="shared" si="5"/>
        <v>0</v>
      </c>
      <c r="AG47" s="306"/>
      <c r="AH47" s="20">
        <f t="shared" si="3"/>
        <v>0</v>
      </c>
      <c r="AI47" s="318"/>
      <c r="AJ47" s="261"/>
      <c r="AK47" s="261"/>
      <c r="AL47" s="261"/>
      <c r="AM47" s="261"/>
      <c r="AN47" s="261"/>
      <c r="AO47" s="261"/>
      <c r="AP47" s="261"/>
      <c r="AQ47" s="306"/>
    </row>
    <row r="48" spans="1:44" s="488" customFormat="1" ht="15" customHeight="1" x14ac:dyDescent="0.3">
      <c r="A48" s="519"/>
      <c r="B48" s="519"/>
      <c r="C48" s="520"/>
      <c r="D48" s="520"/>
      <c r="E48" s="520"/>
      <c r="F48" s="520"/>
      <c r="G48" s="520"/>
      <c r="H48" s="520"/>
      <c r="I48" s="521"/>
      <c r="J48" s="521"/>
      <c r="K48" s="520"/>
      <c r="L48" s="520"/>
      <c r="M48" s="520"/>
      <c r="N48" s="307">
        <f>AH48-AE48</f>
        <v>0</v>
      </c>
      <c r="O48" s="521"/>
      <c r="P48" s="521"/>
      <c r="Q48" s="521"/>
      <c r="R48" s="521"/>
      <c r="S48" s="521"/>
      <c r="T48" s="521"/>
      <c r="U48" s="521"/>
      <c r="V48" s="521"/>
      <c r="W48" s="521"/>
      <c r="X48" s="306">
        <f t="shared" si="0"/>
        <v>0</v>
      </c>
      <c r="Y48" s="207" t="s">
        <v>188</v>
      </c>
      <c r="Z48" s="320"/>
      <c r="AA48" s="307"/>
      <c r="AB48" s="307"/>
      <c r="AC48" s="321"/>
      <c r="AD48" s="516">
        <f>-AG48/$D$2%</f>
        <v>0</v>
      </c>
      <c r="AE48" s="431"/>
      <c r="AF48" s="320">
        <f>X48*AB48/100</f>
        <v>0</v>
      </c>
      <c r="AG48" s="431"/>
      <c r="AH48" s="487"/>
      <c r="AI48" s="515"/>
      <c r="AJ48" s="519"/>
      <c r="AK48" s="519"/>
      <c r="AL48" s="519"/>
      <c r="AM48" s="519"/>
      <c r="AN48" s="519"/>
      <c r="AO48" s="519"/>
      <c r="AP48" s="519"/>
      <c r="AQ48" s="518"/>
    </row>
    <row r="49" spans="1:43" s="488" customFormat="1" ht="15" customHeight="1" x14ac:dyDescent="0.3">
      <c r="A49" s="519"/>
      <c r="B49" s="519"/>
      <c r="C49" s="520"/>
      <c r="D49" s="520"/>
      <c r="E49" s="520"/>
      <c r="F49" s="520"/>
      <c r="G49" s="520"/>
      <c r="H49" s="520"/>
      <c r="I49" s="521"/>
      <c r="J49" s="521"/>
      <c r="K49" s="520"/>
      <c r="L49" s="520"/>
      <c r="M49" s="520"/>
      <c r="N49" s="307"/>
      <c r="O49" s="521"/>
      <c r="P49" s="521"/>
      <c r="Q49" s="521"/>
      <c r="R49" s="521"/>
      <c r="S49" s="521"/>
      <c r="T49" s="521"/>
      <c r="U49" s="521"/>
      <c r="V49" s="521"/>
      <c r="W49" s="521"/>
      <c r="X49" s="306">
        <f t="shared" si="0"/>
        <v>0</v>
      </c>
      <c r="Y49" s="207" t="s">
        <v>189</v>
      </c>
      <c r="Z49" s="320"/>
      <c r="AA49" s="307"/>
      <c r="AB49" s="307"/>
      <c r="AC49" s="321"/>
      <c r="AD49" s="516">
        <f>-AG49/$D$2%</f>
        <v>0</v>
      </c>
      <c r="AE49" s="431"/>
      <c r="AF49" s="516">
        <f>X49*AB49/100</f>
        <v>0</v>
      </c>
      <c r="AG49" s="431"/>
      <c r="AH49" s="487"/>
      <c r="AI49" s="515"/>
      <c r="AJ49" s="519"/>
      <c r="AK49" s="519"/>
      <c r="AL49" s="519"/>
      <c r="AM49" s="519"/>
      <c r="AN49" s="519"/>
      <c r="AO49" s="519"/>
      <c r="AP49" s="519"/>
      <c r="AQ49" s="518"/>
    </row>
    <row r="50" spans="1:43" ht="15" customHeight="1" x14ac:dyDescent="0.3">
      <c r="A50" s="261"/>
      <c r="B50" s="261"/>
      <c r="C50" s="520"/>
      <c r="D50" s="520"/>
      <c r="E50" s="520"/>
      <c r="F50" s="520"/>
      <c r="G50" s="520"/>
      <c r="H50" s="520"/>
      <c r="I50" s="520"/>
      <c r="J50" s="520"/>
      <c r="K50" s="520"/>
      <c r="L50" s="520"/>
      <c r="M50" s="520"/>
      <c r="N50" s="174"/>
      <c r="O50" s="521"/>
      <c r="P50" s="521"/>
      <c r="Q50" s="521"/>
      <c r="R50" s="521"/>
      <c r="S50" s="521"/>
      <c r="T50" s="521"/>
      <c r="U50" s="521"/>
      <c r="V50" s="521"/>
      <c r="W50" s="521"/>
      <c r="X50" s="306">
        <f t="shared" si="0"/>
        <v>0</v>
      </c>
      <c r="Y50" s="323" t="s">
        <v>190</v>
      </c>
      <c r="Z50" s="516"/>
      <c r="AA50" s="174"/>
      <c r="AB50" s="174"/>
      <c r="AC50" s="431"/>
      <c r="AD50" s="260"/>
      <c r="AE50" s="306"/>
      <c r="AF50" s="260">
        <f t="shared" si="5"/>
        <v>0</v>
      </c>
      <c r="AG50" s="306"/>
      <c r="AH50" s="20">
        <f t="shared" si="3"/>
        <v>0</v>
      </c>
      <c r="AI50" s="318"/>
      <c r="AJ50" s="261"/>
      <c r="AK50" s="261"/>
      <c r="AL50" s="261"/>
      <c r="AM50" s="261"/>
      <c r="AN50" s="261"/>
      <c r="AO50" s="261"/>
      <c r="AP50" s="261"/>
      <c r="AQ50" s="306"/>
    </row>
    <row r="51" spans="1:43" ht="15" customHeight="1" x14ac:dyDescent="0.3">
      <c r="A51" s="261"/>
      <c r="B51" s="261"/>
      <c r="C51" s="520"/>
      <c r="D51" s="520"/>
      <c r="E51" s="520"/>
      <c r="F51" s="520"/>
      <c r="G51" s="520"/>
      <c r="H51" s="520"/>
      <c r="I51" s="520"/>
      <c r="J51" s="520"/>
      <c r="K51" s="520"/>
      <c r="L51" s="520"/>
      <c r="M51" s="520"/>
      <c r="N51" s="174"/>
      <c r="O51" s="521"/>
      <c r="P51" s="521"/>
      <c r="Q51" s="521"/>
      <c r="R51" s="521"/>
      <c r="S51" s="521"/>
      <c r="T51" s="521"/>
      <c r="U51" s="521"/>
      <c r="V51" s="521"/>
      <c r="W51" s="521"/>
      <c r="X51" s="306">
        <f t="shared" si="0"/>
        <v>0</v>
      </c>
      <c r="Y51" s="207" t="s">
        <v>191</v>
      </c>
      <c r="Z51" s="516"/>
      <c r="AA51" s="174"/>
      <c r="AB51" s="174"/>
      <c r="AC51" s="431"/>
      <c r="AD51" s="260">
        <f>X51*Z51/100</f>
        <v>0</v>
      </c>
      <c r="AE51" s="306"/>
      <c r="AF51" s="260">
        <f t="shared" si="5"/>
        <v>0</v>
      </c>
      <c r="AG51" s="306"/>
      <c r="AH51" s="20">
        <f t="shared" si="3"/>
        <v>0</v>
      </c>
      <c r="AI51" s="318"/>
      <c r="AJ51" s="261"/>
      <c r="AK51" s="261"/>
      <c r="AL51" s="261"/>
      <c r="AM51" s="261"/>
      <c r="AN51" s="261"/>
      <c r="AO51" s="261"/>
      <c r="AP51" s="261"/>
      <c r="AQ51" s="306"/>
    </row>
    <row r="52" spans="1:43" ht="15" customHeight="1" x14ac:dyDescent="0.3">
      <c r="A52" s="261"/>
      <c r="B52" s="261"/>
      <c r="C52" s="520"/>
      <c r="D52" s="520"/>
      <c r="E52" s="520"/>
      <c r="F52" s="520"/>
      <c r="G52" s="520"/>
      <c r="H52" s="520"/>
      <c r="I52" s="520"/>
      <c r="J52" s="520"/>
      <c r="K52" s="520"/>
      <c r="L52" s="520"/>
      <c r="M52" s="520"/>
      <c r="N52" s="174"/>
      <c r="O52" s="521"/>
      <c r="P52" s="521"/>
      <c r="Q52" s="521"/>
      <c r="R52" s="521"/>
      <c r="S52" s="521"/>
      <c r="T52" s="521"/>
      <c r="U52" s="521"/>
      <c r="V52" s="521"/>
      <c r="W52" s="521"/>
      <c r="X52" s="306">
        <f t="shared" si="0"/>
        <v>0</v>
      </c>
      <c r="Y52" s="207" t="s">
        <v>192</v>
      </c>
      <c r="Z52" s="516"/>
      <c r="AA52" s="174"/>
      <c r="AB52" s="174"/>
      <c r="AC52" s="431">
        <f>100-25</f>
        <v>75</v>
      </c>
      <c r="AD52" s="320"/>
      <c r="AE52" s="321"/>
      <c r="AF52" s="320">
        <f>-SUM(AF44:AF51)</f>
        <v>0</v>
      </c>
      <c r="AG52" s="321">
        <f>-AF52*AC52/100</f>
        <v>0</v>
      </c>
      <c r="AH52" s="20">
        <f t="shared" si="3"/>
        <v>0</v>
      </c>
      <c r="AI52" s="318">
        <f>AG52*62.71%</f>
        <v>0</v>
      </c>
      <c r="AJ52" s="318">
        <f>AG52*9.72%</f>
        <v>0</v>
      </c>
      <c r="AK52" s="261">
        <f>AG52*12.13%</f>
        <v>0</v>
      </c>
      <c r="AL52" s="261">
        <f>AG52*7.13%</f>
        <v>0</v>
      </c>
      <c r="AM52" s="261">
        <f>AG52*0%</f>
        <v>0</v>
      </c>
      <c r="AN52" s="261">
        <f>AG52*6.34%</f>
        <v>0</v>
      </c>
      <c r="AO52" s="261">
        <f>AG52*1.97%</f>
        <v>0</v>
      </c>
      <c r="AP52" s="261"/>
      <c r="AQ52" s="306"/>
    </row>
    <row r="53" spans="1:43" ht="15" customHeight="1" x14ac:dyDescent="0.3">
      <c r="A53" s="261"/>
      <c r="B53" s="261"/>
      <c r="C53" s="520"/>
      <c r="D53" s="520"/>
      <c r="E53" s="520"/>
      <c r="F53" s="520"/>
      <c r="G53" s="520"/>
      <c r="H53" s="520"/>
      <c r="I53" s="521"/>
      <c r="J53" s="520"/>
      <c r="K53" s="520"/>
      <c r="L53" s="520"/>
      <c r="M53" s="520"/>
      <c r="N53" s="174"/>
      <c r="O53" s="521"/>
      <c r="P53" s="521"/>
      <c r="Q53" s="521"/>
      <c r="R53" s="521"/>
      <c r="S53" s="521"/>
      <c r="T53" s="521"/>
      <c r="U53" s="521"/>
      <c r="V53" s="521">
        <f>23.389+2.8908</f>
        <v>26.279799999999998</v>
      </c>
      <c r="W53" s="521"/>
      <c r="X53" s="306">
        <f t="shared" si="0"/>
        <v>26.279799999999998</v>
      </c>
      <c r="Y53" s="207" t="s">
        <v>193</v>
      </c>
      <c r="Z53" s="516">
        <v>24.37</v>
      </c>
      <c r="AA53" s="174"/>
      <c r="AB53" s="174"/>
      <c r="AC53" s="431"/>
      <c r="AD53" s="320">
        <f>X53*Z53/100</f>
        <v>6.40438726</v>
      </c>
      <c r="AE53" s="321"/>
      <c r="AF53" s="320">
        <f>X53*AB53/100</f>
        <v>0</v>
      </c>
      <c r="AG53" s="321"/>
      <c r="AH53" s="20">
        <f t="shared" ref="AH53:AH80" si="6">SUM(AI53:AQ53)</f>
        <v>0</v>
      </c>
      <c r="AI53" s="318"/>
      <c r="AJ53" s="174"/>
      <c r="AK53" s="519"/>
      <c r="AL53" s="519"/>
      <c r="AM53" s="519"/>
      <c r="AN53" s="519"/>
      <c r="AO53" s="519"/>
      <c r="AP53" s="519"/>
      <c r="AQ53" s="306"/>
    </row>
    <row r="54" spans="1:43" ht="15" customHeight="1" x14ac:dyDescent="0.3">
      <c r="A54" s="261"/>
      <c r="B54" s="261"/>
      <c r="C54" s="520"/>
      <c r="D54" s="520"/>
      <c r="E54" s="520"/>
      <c r="F54" s="520"/>
      <c r="G54" s="520"/>
      <c r="H54" s="520"/>
      <c r="I54" s="520"/>
      <c r="J54" s="520"/>
      <c r="K54" s="520"/>
      <c r="L54" s="520"/>
      <c r="M54" s="520"/>
      <c r="N54" s="174"/>
      <c r="O54" s="521"/>
      <c r="P54" s="521"/>
      <c r="Q54" s="521"/>
      <c r="R54" s="521"/>
      <c r="S54" s="521"/>
      <c r="T54" s="521"/>
      <c r="U54" s="521"/>
      <c r="V54" s="521"/>
      <c r="W54" s="521"/>
      <c r="X54" s="306">
        <f t="shared" si="0"/>
        <v>0</v>
      </c>
      <c r="Y54" s="207" t="s">
        <v>194</v>
      </c>
      <c r="Z54" s="516"/>
      <c r="AA54" s="174"/>
      <c r="AB54" s="174"/>
      <c r="AC54" s="431"/>
      <c r="AD54" s="320">
        <f>X54*Z54/100</f>
        <v>0</v>
      </c>
      <c r="AE54" s="321"/>
      <c r="AF54" s="320">
        <f>X54*AB54/100</f>
        <v>0</v>
      </c>
      <c r="AG54" s="321"/>
      <c r="AH54" s="20">
        <f t="shared" si="6"/>
        <v>0</v>
      </c>
      <c r="AI54" s="318"/>
      <c r="AJ54" s="174"/>
      <c r="AK54" s="519"/>
      <c r="AL54" s="519"/>
      <c r="AM54" s="519"/>
      <c r="AN54" s="519"/>
      <c r="AO54" s="519"/>
      <c r="AP54" s="519"/>
      <c r="AQ54" s="306"/>
    </row>
    <row r="55" spans="1:43" ht="15" customHeight="1" x14ac:dyDescent="0.3">
      <c r="A55" s="261"/>
      <c r="B55" s="261"/>
      <c r="C55" s="520"/>
      <c r="D55" s="520"/>
      <c r="E55" s="520"/>
      <c r="F55" s="520"/>
      <c r="G55" s="520"/>
      <c r="H55" s="520"/>
      <c r="I55" s="520"/>
      <c r="J55" s="520"/>
      <c r="K55" s="520"/>
      <c r="L55" s="520"/>
      <c r="M55" s="520"/>
      <c r="N55" s="174"/>
      <c r="O55" s="521"/>
      <c r="P55" s="521"/>
      <c r="Q55" s="521"/>
      <c r="R55" s="521"/>
      <c r="S55" s="521"/>
      <c r="T55" s="521"/>
      <c r="U55" s="521"/>
      <c r="V55" s="521"/>
      <c r="W55" s="521"/>
      <c r="X55" s="306">
        <f t="shared" si="0"/>
        <v>0</v>
      </c>
      <c r="Y55" s="207" t="s">
        <v>195</v>
      </c>
      <c r="Z55" s="516"/>
      <c r="AA55" s="174"/>
      <c r="AB55" s="174"/>
      <c r="AC55" s="431">
        <f>100-25</f>
        <v>75</v>
      </c>
      <c r="AD55" s="320"/>
      <c r="AE55" s="321"/>
      <c r="AF55" s="320">
        <f>-SUM(AF53:AF54)</f>
        <v>0</v>
      </c>
      <c r="AG55" s="321">
        <f>-AF55*AC55/100</f>
        <v>0</v>
      </c>
      <c r="AH55" s="20">
        <f t="shared" si="6"/>
        <v>0</v>
      </c>
      <c r="AI55" s="318">
        <f>AG55*62.71%</f>
        <v>0</v>
      </c>
      <c r="AJ55" s="318">
        <f>AG55*9.72%</f>
        <v>0</v>
      </c>
      <c r="AK55" s="261">
        <f>AG55*12.13%</f>
        <v>0</v>
      </c>
      <c r="AL55" s="261">
        <f>AG55*7.13%</f>
        <v>0</v>
      </c>
      <c r="AM55" s="261">
        <f>AG55*0%</f>
        <v>0</v>
      </c>
      <c r="AN55" s="261">
        <f>AG55*6.34%</f>
        <v>0</v>
      </c>
      <c r="AO55" s="261">
        <f>AG55*1.97%</f>
        <v>0</v>
      </c>
      <c r="AP55" s="261"/>
      <c r="AQ55" s="306"/>
    </row>
    <row r="56" spans="1:43" ht="15" customHeight="1" x14ac:dyDescent="0.3">
      <c r="A56" s="261"/>
      <c r="B56" s="261"/>
      <c r="C56" s="520"/>
      <c r="D56" s="521"/>
      <c r="E56" s="521">
        <v>0.8</v>
      </c>
      <c r="F56" s="521"/>
      <c r="G56" s="521"/>
      <c r="H56" s="521"/>
      <c r="I56" s="521">
        <v>7</v>
      </c>
      <c r="J56" s="521"/>
      <c r="K56" s="521"/>
      <c r="L56" s="521"/>
      <c r="M56" s="521"/>
      <c r="N56" s="174"/>
      <c r="O56" s="521"/>
      <c r="P56" s="521"/>
      <c r="Q56" s="521">
        <v>22</v>
      </c>
      <c r="R56" s="521"/>
      <c r="S56" s="521"/>
      <c r="T56" s="521"/>
      <c r="U56" s="521"/>
      <c r="V56" s="521"/>
      <c r="W56" s="521"/>
      <c r="X56" s="306">
        <f t="shared" si="0"/>
        <v>29.8</v>
      </c>
      <c r="Y56" s="207" t="s">
        <v>196</v>
      </c>
      <c r="Z56" s="516"/>
      <c r="AA56" s="174"/>
      <c r="AB56" s="174">
        <v>66.540000000000006</v>
      </c>
      <c r="AC56" s="431"/>
      <c r="AD56" s="320"/>
      <c r="AE56" s="321"/>
      <c r="AF56" s="320">
        <f>X56*AB56/100</f>
        <v>19.828920000000004</v>
      </c>
      <c r="AG56" s="321"/>
      <c r="AH56" s="20">
        <f t="shared" si="6"/>
        <v>0</v>
      </c>
      <c r="AI56" s="318"/>
      <c r="AJ56" s="261"/>
      <c r="AK56" s="261"/>
      <c r="AL56" s="261"/>
      <c r="AM56" s="261"/>
      <c r="AN56" s="261"/>
      <c r="AO56" s="261"/>
      <c r="AP56" s="261"/>
      <c r="AQ56" s="306"/>
    </row>
    <row r="57" spans="1:43" ht="15" customHeight="1" x14ac:dyDescent="0.25">
      <c r="A57" s="261"/>
      <c r="B57" s="261"/>
      <c r="C57" s="292"/>
      <c r="D57" s="292"/>
      <c r="E57" s="292"/>
      <c r="F57" s="292"/>
      <c r="G57" s="292"/>
      <c r="H57" s="292"/>
      <c r="I57" s="480"/>
      <c r="J57" s="292"/>
      <c r="K57" s="292"/>
      <c r="L57" s="292"/>
      <c r="M57" s="292"/>
      <c r="N57" s="307"/>
      <c r="O57" s="480"/>
      <c r="P57" s="480"/>
      <c r="Q57" s="480"/>
      <c r="R57" s="480"/>
      <c r="S57" s="480"/>
      <c r="T57" s="480"/>
      <c r="U57" s="480"/>
      <c r="V57" s="480"/>
      <c r="W57" s="480"/>
      <c r="X57" s="306">
        <f t="shared" si="0"/>
        <v>0</v>
      </c>
      <c r="Y57" s="207" t="s">
        <v>197</v>
      </c>
      <c r="Z57" s="320"/>
      <c r="AA57" s="307"/>
      <c r="AB57" s="307"/>
      <c r="AC57" s="321"/>
      <c r="AD57" s="320">
        <f>-AG57/$D$2%</f>
        <v>0</v>
      </c>
      <c r="AE57" s="321"/>
      <c r="AF57" s="320">
        <f>AE57*AB57%</f>
        <v>0</v>
      </c>
      <c r="AG57" s="306"/>
      <c r="AH57" s="20"/>
      <c r="AI57" s="318"/>
      <c r="AJ57" s="261"/>
      <c r="AK57" s="261"/>
      <c r="AL57" s="261"/>
      <c r="AM57" s="261"/>
      <c r="AN57" s="261"/>
      <c r="AO57" s="261"/>
      <c r="AP57" s="261"/>
      <c r="AQ57" s="306"/>
    </row>
    <row r="58" spans="1:43" ht="15" customHeight="1" x14ac:dyDescent="0.25">
      <c r="A58" s="307"/>
      <c r="B58" s="307"/>
      <c r="C58" s="480"/>
      <c r="D58" s="480"/>
      <c r="E58" s="480"/>
      <c r="F58" s="480"/>
      <c r="G58" s="480"/>
      <c r="H58" s="480"/>
      <c r="I58" s="480"/>
      <c r="J58" s="480"/>
      <c r="K58" s="480"/>
      <c r="L58" s="480"/>
      <c r="M58" s="480"/>
      <c r="N58" s="480"/>
      <c r="O58" s="480"/>
      <c r="P58" s="480"/>
      <c r="Q58" s="480"/>
      <c r="R58" s="480"/>
      <c r="S58" s="480"/>
      <c r="T58" s="480"/>
      <c r="U58" s="480"/>
      <c r="V58" s="480"/>
      <c r="W58" s="480"/>
      <c r="X58" s="306">
        <f t="shared" si="0"/>
        <v>0</v>
      </c>
      <c r="Y58" s="207" t="s">
        <v>198</v>
      </c>
      <c r="Z58" s="320"/>
      <c r="AA58" s="307"/>
      <c r="AB58" s="307"/>
      <c r="AC58" s="321"/>
      <c r="AD58" s="320"/>
      <c r="AE58" s="321"/>
      <c r="AF58" s="485">
        <f>AE58*AB58%</f>
        <v>0</v>
      </c>
      <c r="AG58" s="321"/>
      <c r="AH58" s="20"/>
      <c r="AI58" s="318"/>
      <c r="AJ58" s="261"/>
      <c r="AK58" s="261"/>
      <c r="AL58" s="261"/>
      <c r="AM58" s="261"/>
      <c r="AN58" s="261"/>
      <c r="AO58" s="261"/>
      <c r="AP58" s="261"/>
      <c r="AQ58" s="306"/>
    </row>
    <row r="59" spans="1:43" ht="15" customHeight="1" x14ac:dyDescent="0.25">
      <c r="A59" s="261"/>
      <c r="B59" s="261"/>
      <c r="C59" s="480"/>
      <c r="D59" s="480"/>
      <c r="E59" s="480"/>
      <c r="F59" s="480"/>
      <c r="G59" s="480"/>
      <c r="H59" s="480"/>
      <c r="I59" s="480"/>
      <c r="J59" s="480"/>
      <c r="K59" s="480"/>
      <c r="L59" s="480"/>
      <c r="M59" s="480"/>
      <c r="N59" s="480"/>
      <c r="O59" s="480"/>
      <c r="P59" s="480"/>
      <c r="Q59" s="480"/>
      <c r="R59" s="480"/>
      <c r="S59" s="480"/>
      <c r="T59" s="480"/>
      <c r="U59" s="480"/>
      <c r="V59" s="480"/>
      <c r="W59" s="480"/>
      <c r="X59" s="306">
        <f t="shared" si="0"/>
        <v>0</v>
      </c>
      <c r="Y59" s="207" t="s">
        <v>199</v>
      </c>
      <c r="Z59" s="320"/>
      <c r="AA59" s="307"/>
      <c r="AB59" s="307"/>
      <c r="AC59" s="321"/>
      <c r="AD59" s="320"/>
      <c r="AE59" s="321"/>
      <c r="AF59" s="320">
        <f>X59*AB59/100</f>
        <v>0</v>
      </c>
      <c r="AG59" s="321"/>
      <c r="AH59" s="20"/>
      <c r="AI59" s="318"/>
      <c r="AJ59" s="261"/>
      <c r="AK59" s="261"/>
      <c r="AL59" s="261"/>
      <c r="AM59" s="261"/>
      <c r="AN59" s="261"/>
      <c r="AO59" s="261"/>
      <c r="AP59" s="261"/>
      <c r="AQ59" s="306"/>
    </row>
    <row r="60" spans="1:43" ht="15" customHeight="1" x14ac:dyDescent="0.3">
      <c r="A60" s="261"/>
      <c r="B60" s="261"/>
      <c r="C60" s="520"/>
      <c r="D60" s="520"/>
      <c r="E60" s="520"/>
      <c r="F60" s="520"/>
      <c r="G60" s="520"/>
      <c r="H60" s="520"/>
      <c r="I60" s="525"/>
      <c r="J60" s="520"/>
      <c r="K60" s="520"/>
      <c r="L60" s="521"/>
      <c r="M60" s="520"/>
      <c r="N60" s="521"/>
      <c r="O60" s="521"/>
      <c r="P60" s="521"/>
      <c r="Q60" s="521"/>
      <c r="R60" s="521"/>
      <c r="S60" s="521"/>
      <c r="T60" s="521"/>
      <c r="U60" s="521"/>
      <c r="V60" s="521"/>
      <c r="W60" s="521"/>
      <c r="X60" s="306">
        <f t="shared" si="0"/>
        <v>0</v>
      </c>
      <c r="Y60" s="207" t="s">
        <v>487</v>
      </c>
      <c r="Z60" s="516"/>
      <c r="AA60" s="174"/>
      <c r="AB60" s="174"/>
      <c r="AC60" s="431"/>
      <c r="AD60" s="320"/>
      <c r="AE60" s="321"/>
      <c r="AF60" s="320">
        <f>X60*AB60/100</f>
        <v>0</v>
      </c>
      <c r="AG60" s="321"/>
      <c r="AH60" s="20">
        <f t="shared" si="6"/>
        <v>0</v>
      </c>
      <c r="AI60" s="318"/>
      <c r="AJ60" s="261"/>
      <c r="AK60" s="261"/>
      <c r="AL60" s="261"/>
      <c r="AM60" s="261"/>
      <c r="AN60" s="261"/>
      <c r="AO60" s="261"/>
      <c r="AP60" s="261"/>
      <c r="AQ60" s="306"/>
    </row>
    <row r="61" spans="1:43" ht="15" customHeight="1" x14ac:dyDescent="0.3">
      <c r="A61" s="260"/>
      <c r="B61" s="261"/>
      <c r="C61" s="520"/>
      <c r="D61" s="520"/>
      <c r="E61" s="520"/>
      <c r="F61" s="520"/>
      <c r="G61" s="520"/>
      <c r="H61" s="520"/>
      <c r="I61" s="520"/>
      <c r="J61" s="520"/>
      <c r="K61" s="520"/>
      <c r="L61" s="520"/>
      <c r="M61" s="520"/>
      <c r="N61" s="521"/>
      <c r="O61" s="521"/>
      <c r="P61" s="521"/>
      <c r="Q61" s="521"/>
      <c r="R61" s="521"/>
      <c r="S61" s="521"/>
      <c r="T61" s="521"/>
      <c r="U61" s="521"/>
      <c r="V61" s="521"/>
      <c r="W61" s="521"/>
      <c r="X61" s="306">
        <f t="shared" si="0"/>
        <v>0</v>
      </c>
      <c r="Y61" s="207" t="s">
        <v>488</v>
      </c>
      <c r="Z61" s="516"/>
      <c r="AA61" s="174"/>
      <c r="AB61" s="174"/>
      <c r="AC61" s="431"/>
      <c r="AD61" s="320">
        <f>X61*Z61%</f>
        <v>0</v>
      </c>
      <c r="AE61" s="321"/>
      <c r="AF61" s="320">
        <f>X61*AB61%</f>
        <v>0</v>
      </c>
      <c r="AG61" s="321"/>
      <c r="AH61" s="20">
        <f t="shared" si="6"/>
        <v>0</v>
      </c>
      <c r="AI61" s="318"/>
      <c r="AJ61" s="261"/>
      <c r="AK61" s="261"/>
      <c r="AL61" s="261"/>
      <c r="AM61" s="261"/>
      <c r="AN61" s="261"/>
      <c r="AO61" s="261"/>
      <c r="AP61" s="261"/>
      <c r="AQ61" s="306"/>
    </row>
    <row r="62" spans="1:43" ht="15" customHeight="1" x14ac:dyDescent="0.3">
      <c r="A62" s="261"/>
      <c r="B62" s="261"/>
      <c r="C62" s="520"/>
      <c r="D62" s="520"/>
      <c r="E62" s="520"/>
      <c r="F62" s="520"/>
      <c r="G62" s="520"/>
      <c r="H62" s="520"/>
      <c r="I62" s="525"/>
      <c r="J62" s="520"/>
      <c r="K62" s="520"/>
      <c r="L62" s="520"/>
      <c r="M62" s="520"/>
      <c r="N62" s="520"/>
      <c r="O62" s="520"/>
      <c r="P62" s="520"/>
      <c r="Q62" s="520"/>
      <c r="R62" s="520"/>
      <c r="S62" s="520"/>
      <c r="T62" s="520"/>
      <c r="U62" s="520"/>
      <c r="V62" s="520"/>
      <c r="W62" s="520"/>
      <c r="X62" s="306">
        <f t="shared" si="0"/>
        <v>0</v>
      </c>
      <c r="Y62" s="207" t="s">
        <v>200</v>
      </c>
      <c r="Z62" s="516"/>
      <c r="AA62" s="174"/>
      <c r="AB62" s="174"/>
      <c r="AC62" s="431">
        <f>100-25</f>
        <v>75</v>
      </c>
      <c r="AD62" s="320"/>
      <c r="AE62" s="321"/>
      <c r="AF62" s="517">
        <f>-SUM(AF56:AF60)</f>
        <v>-19.828920000000004</v>
      </c>
      <c r="AG62" s="321">
        <f>-AF62*AC62/100</f>
        <v>14.871690000000003</v>
      </c>
      <c r="AH62" s="20">
        <f t="shared" si="6"/>
        <v>14.871690000000005</v>
      </c>
      <c r="AI62" s="318">
        <f>AG62*62.71%</f>
        <v>9.3260367990000024</v>
      </c>
      <c r="AJ62" s="318">
        <f>AG62*9.72%</f>
        <v>1.4455282680000003</v>
      </c>
      <c r="AK62" s="261">
        <f>AG62*12.13%</f>
        <v>1.8039359970000004</v>
      </c>
      <c r="AL62" s="261">
        <f>AG62*7.13%</f>
        <v>1.0603514970000003</v>
      </c>
      <c r="AM62" s="261">
        <f>AG62*0%</f>
        <v>0</v>
      </c>
      <c r="AN62" s="261">
        <f>AG62*6.34%</f>
        <v>0.94286514600000015</v>
      </c>
      <c r="AO62" s="261">
        <f>AG62*1.97%</f>
        <v>0.29297229300000005</v>
      </c>
      <c r="AP62" s="261"/>
      <c r="AQ62" s="306"/>
    </row>
    <row r="63" spans="1:43" ht="15" customHeight="1" x14ac:dyDescent="0.3">
      <c r="A63" s="261"/>
      <c r="B63" s="261"/>
      <c r="C63" s="520"/>
      <c r="D63" s="520"/>
      <c r="E63" s="520"/>
      <c r="F63" s="520"/>
      <c r="G63" s="520"/>
      <c r="H63" s="520"/>
      <c r="I63" s="521"/>
      <c r="J63" s="520"/>
      <c r="K63" s="520"/>
      <c r="L63" s="520"/>
      <c r="M63" s="520"/>
      <c r="N63" s="520"/>
      <c r="O63" s="520"/>
      <c r="P63" s="520"/>
      <c r="Q63" s="520"/>
      <c r="R63" s="520"/>
      <c r="S63" s="520"/>
      <c r="T63" s="520"/>
      <c r="U63" s="520"/>
      <c r="V63" s="520"/>
      <c r="W63" s="520"/>
      <c r="X63" s="306">
        <f t="shared" si="0"/>
        <v>0</v>
      </c>
      <c r="Y63" s="207" t="s">
        <v>201</v>
      </c>
      <c r="Z63" s="516"/>
      <c r="AA63" s="174"/>
      <c r="AB63" s="174"/>
      <c r="AC63" s="431"/>
      <c r="AD63" s="260">
        <f t="shared" ref="AD63:AD68" si="7">Z63/100*X63</f>
        <v>0</v>
      </c>
      <c r="AE63" s="306"/>
      <c r="AF63" s="260">
        <f t="shared" ref="AF63:AF68" si="8">X63*AB63/100</f>
        <v>0</v>
      </c>
      <c r="AG63" s="306"/>
      <c r="AH63" s="20">
        <f t="shared" si="6"/>
        <v>0</v>
      </c>
      <c r="AI63" s="318"/>
      <c r="AJ63" s="261"/>
      <c r="AK63" s="261"/>
      <c r="AL63" s="261"/>
      <c r="AM63" s="261"/>
      <c r="AN63" s="261"/>
      <c r="AO63" s="261"/>
      <c r="AP63" s="261"/>
      <c r="AQ63" s="306"/>
    </row>
    <row r="64" spans="1:43" ht="15" customHeight="1" x14ac:dyDescent="0.3">
      <c r="A64" s="261"/>
      <c r="B64" s="261"/>
      <c r="C64" s="520"/>
      <c r="D64" s="520"/>
      <c r="E64" s="520"/>
      <c r="F64" s="520"/>
      <c r="G64" s="520"/>
      <c r="H64" s="520"/>
      <c r="I64" s="520"/>
      <c r="J64" s="520"/>
      <c r="K64" s="520"/>
      <c r="L64" s="520"/>
      <c r="M64" s="520"/>
      <c r="N64" s="520"/>
      <c r="O64" s="521"/>
      <c r="P64" s="521"/>
      <c r="Q64" s="521"/>
      <c r="R64" s="521"/>
      <c r="S64" s="521"/>
      <c r="T64" s="521"/>
      <c r="U64" s="520"/>
      <c r="V64" s="520"/>
      <c r="W64" s="520"/>
      <c r="X64" s="306">
        <f t="shared" si="0"/>
        <v>0</v>
      </c>
      <c r="Y64" s="207" t="s">
        <v>202</v>
      </c>
      <c r="Z64" s="516"/>
      <c r="AA64" s="174"/>
      <c r="AB64" s="174"/>
      <c r="AC64" s="431"/>
      <c r="AD64" s="260">
        <f t="shared" si="7"/>
        <v>0</v>
      </c>
      <c r="AE64" s="306"/>
      <c r="AF64" s="260">
        <f t="shared" si="8"/>
        <v>0</v>
      </c>
      <c r="AG64" s="306"/>
      <c r="AH64" s="20">
        <f t="shared" si="6"/>
        <v>0</v>
      </c>
      <c r="AI64" s="318"/>
      <c r="AJ64" s="261"/>
      <c r="AK64" s="261"/>
      <c r="AL64" s="261"/>
      <c r="AM64" s="261"/>
      <c r="AN64" s="261"/>
      <c r="AO64" s="261"/>
      <c r="AP64" s="261"/>
      <c r="AQ64" s="306"/>
    </row>
    <row r="65" spans="1:43" ht="15" customHeight="1" x14ac:dyDescent="0.3">
      <c r="A65" s="261"/>
      <c r="B65" s="261"/>
      <c r="C65" s="520"/>
      <c r="D65" s="520"/>
      <c r="E65" s="520"/>
      <c r="F65" s="520"/>
      <c r="G65" s="520"/>
      <c r="H65" s="520"/>
      <c r="I65" s="521"/>
      <c r="J65" s="520"/>
      <c r="K65" s="520"/>
      <c r="L65" s="520"/>
      <c r="M65" s="520"/>
      <c r="N65" s="520"/>
      <c r="O65" s="520"/>
      <c r="P65" s="520"/>
      <c r="Q65" s="520"/>
      <c r="R65" s="520"/>
      <c r="S65" s="520"/>
      <c r="T65" s="520"/>
      <c r="U65" s="520"/>
      <c r="V65" s="520"/>
      <c r="W65" s="520"/>
      <c r="X65" s="306">
        <f t="shared" si="0"/>
        <v>0</v>
      </c>
      <c r="Y65" s="207" t="s">
        <v>203</v>
      </c>
      <c r="Z65" s="516"/>
      <c r="AA65" s="174"/>
      <c r="AB65" s="174"/>
      <c r="AC65" s="431"/>
      <c r="AD65" s="260">
        <f t="shared" si="7"/>
        <v>0</v>
      </c>
      <c r="AE65" s="306"/>
      <c r="AF65" s="260">
        <f t="shared" si="8"/>
        <v>0</v>
      </c>
      <c r="AG65" s="306"/>
      <c r="AH65" s="20">
        <f t="shared" si="6"/>
        <v>0</v>
      </c>
      <c r="AI65" s="318"/>
      <c r="AJ65" s="261"/>
      <c r="AK65" s="261"/>
      <c r="AL65" s="261"/>
      <c r="AM65" s="261"/>
      <c r="AN65" s="261"/>
      <c r="AO65" s="261"/>
      <c r="AP65" s="261"/>
      <c r="AQ65" s="306"/>
    </row>
    <row r="66" spans="1:43" ht="15" customHeight="1" x14ac:dyDescent="0.3">
      <c r="A66" s="261"/>
      <c r="B66" s="261"/>
      <c r="C66" s="307"/>
      <c r="D66" s="307"/>
      <c r="E66" s="307"/>
      <c r="F66" s="307"/>
      <c r="G66" s="307"/>
      <c r="H66" s="307"/>
      <c r="I66" s="307"/>
      <c r="J66" s="261"/>
      <c r="K66" s="261"/>
      <c r="L66" s="261"/>
      <c r="M66" s="261"/>
      <c r="N66" s="261"/>
      <c r="O66" s="261"/>
      <c r="P66" s="307"/>
      <c r="Q66" s="261"/>
      <c r="R66" s="261"/>
      <c r="S66" s="307"/>
      <c r="T66" s="261"/>
      <c r="U66" s="261"/>
      <c r="V66" s="307"/>
      <c r="W66" s="261"/>
      <c r="X66" s="306">
        <f t="shared" si="0"/>
        <v>0</v>
      </c>
      <c r="Y66" s="207" t="s">
        <v>204</v>
      </c>
      <c r="Z66" s="516"/>
      <c r="AA66" s="174"/>
      <c r="AB66" s="174"/>
      <c r="AC66" s="431"/>
      <c r="AD66" s="260">
        <f t="shared" si="7"/>
        <v>0</v>
      </c>
      <c r="AE66" s="306"/>
      <c r="AF66" s="260">
        <f t="shared" si="8"/>
        <v>0</v>
      </c>
      <c r="AG66" s="306"/>
      <c r="AH66" s="20">
        <f t="shared" si="6"/>
        <v>0</v>
      </c>
      <c r="AI66" s="318"/>
      <c r="AJ66" s="261"/>
      <c r="AK66" s="261"/>
      <c r="AL66" s="261"/>
      <c r="AM66" s="261"/>
      <c r="AN66" s="261"/>
      <c r="AO66" s="261"/>
      <c r="AP66" s="261"/>
      <c r="AQ66" s="306"/>
    </row>
    <row r="67" spans="1:43" ht="15" customHeight="1" x14ac:dyDescent="0.3">
      <c r="A67" s="261"/>
      <c r="B67" s="261"/>
      <c r="C67" s="307"/>
      <c r="D67" s="307"/>
      <c r="E67" s="307"/>
      <c r="F67" s="307"/>
      <c r="G67" s="307"/>
      <c r="H67" s="307"/>
      <c r="I67" s="307"/>
      <c r="J67" s="261"/>
      <c r="K67" s="261"/>
      <c r="L67" s="261"/>
      <c r="M67" s="261"/>
      <c r="N67" s="261"/>
      <c r="O67" s="261"/>
      <c r="P67" s="307"/>
      <c r="Q67" s="261"/>
      <c r="R67" s="261"/>
      <c r="S67" s="261"/>
      <c r="T67" s="261"/>
      <c r="U67" s="261"/>
      <c r="V67" s="307"/>
      <c r="W67" s="261"/>
      <c r="X67" s="306">
        <f t="shared" si="0"/>
        <v>0</v>
      </c>
      <c r="Y67" s="207" t="s">
        <v>205</v>
      </c>
      <c r="Z67" s="516"/>
      <c r="AA67" s="174"/>
      <c r="AB67" s="174"/>
      <c r="AC67" s="431"/>
      <c r="AD67" s="260">
        <f t="shared" si="7"/>
        <v>0</v>
      </c>
      <c r="AE67" s="306"/>
      <c r="AF67" s="260">
        <f t="shared" si="8"/>
        <v>0</v>
      </c>
      <c r="AG67" s="306"/>
      <c r="AH67" s="20">
        <f t="shared" si="6"/>
        <v>0</v>
      </c>
      <c r="AI67" s="318"/>
      <c r="AJ67" s="261"/>
      <c r="AK67" s="261"/>
      <c r="AL67" s="261"/>
      <c r="AM67" s="261"/>
      <c r="AN67" s="261"/>
      <c r="AO67" s="261"/>
      <c r="AP67" s="261"/>
      <c r="AQ67" s="306"/>
    </row>
    <row r="68" spans="1:43" ht="15" customHeight="1" x14ac:dyDescent="0.3">
      <c r="A68" s="261"/>
      <c r="B68" s="261"/>
      <c r="C68" s="307"/>
      <c r="D68" s="307"/>
      <c r="E68" s="307"/>
      <c r="F68" s="307"/>
      <c r="G68" s="307"/>
      <c r="H68" s="307"/>
      <c r="I68" s="307"/>
      <c r="J68" s="261"/>
      <c r="K68" s="261"/>
      <c r="L68" s="261"/>
      <c r="M68" s="261"/>
      <c r="N68" s="261"/>
      <c r="O68" s="261"/>
      <c r="P68" s="307"/>
      <c r="Q68" s="261"/>
      <c r="R68" s="261"/>
      <c r="S68" s="307"/>
      <c r="T68" s="261"/>
      <c r="U68" s="261"/>
      <c r="V68" s="307"/>
      <c r="W68" s="261"/>
      <c r="X68" s="306">
        <f t="shared" si="0"/>
        <v>0</v>
      </c>
      <c r="Y68" s="207" t="s">
        <v>206</v>
      </c>
      <c r="Z68" s="516"/>
      <c r="AA68" s="174"/>
      <c r="AB68" s="174"/>
      <c r="AC68" s="431"/>
      <c r="AD68" s="260">
        <f t="shared" si="7"/>
        <v>0</v>
      </c>
      <c r="AE68" s="518"/>
      <c r="AF68" s="516">
        <f t="shared" si="8"/>
        <v>0</v>
      </c>
      <c r="AG68" s="306"/>
      <c r="AH68" s="20">
        <f t="shared" si="6"/>
        <v>0</v>
      </c>
      <c r="AI68" s="318"/>
      <c r="AJ68" s="261"/>
      <c r="AK68" s="261"/>
      <c r="AL68" s="261"/>
      <c r="AM68" s="261"/>
      <c r="AN68" s="261"/>
      <c r="AO68" s="261"/>
      <c r="AP68" s="261"/>
      <c r="AQ68" s="306"/>
    </row>
    <row r="69" spans="1:43" ht="15" customHeight="1" x14ac:dyDescent="0.3">
      <c r="A69" s="261"/>
      <c r="B69" s="261"/>
      <c r="C69" s="261"/>
      <c r="D69" s="261"/>
      <c r="E69" s="261"/>
      <c r="F69" s="261"/>
      <c r="G69" s="261"/>
      <c r="H69" s="261"/>
      <c r="I69" s="261"/>
      <c r="J69" s="261"/>
      <c r="K69" s="261"/>
      <c r="L69" s="261"/>
      <c r="M69" s="261"/>
      <c r="N69" s="261"/>
      <c r="O69" s="261"/>
      <c r="P69" s="261"/>
      <c r="Q69" s="261"/>
      <c r="R69" s="261"/>
      <c r="S69" s="261"/>
      <c r="T69" s="261"/>
      <c r="U69" s="261"/>
      <c r="V69" s="307"/>
      <c r="W69" s="261"/>
      <c r="X69" s="306">
        <f t="shared" si="0"/>
        <v>0</v>
      </c>
      <c r="Y69" s="323" t="s">
        <v>207</v>
      </c>
      <c r="Z69" s="517"/>
      <c r="AA69" s="519"/>
      <c r="AB69" s="519"/>
      <c r="AC69" s="526"/>
      <c r="AD69" s="260">
        <f>-AE69</f>
        <v>0</v>
      </c>
      <c r="AE69" s="431"/>
      <c r="AF69" s="517"/>
      <c r="AG69" s="306"/>
      <c r="AH69" s="20">
        <f t="shared" si="6"/>
        <v>0</v>
      </c>
      <c r="AI69" s="318"/>
      <c r="AJ69" s="261"/>
      <c r="AK69" s="261"/>
      <c r="AL69" s="261"/>
      <c r="AM69" s="261"/>
      <c r="AN69" s="261">
        <f>AE69</f>
        <v>0</v>
      </c>
      <c r="AO69" s="261"/>
      <c r="AP69" s="261"/>
      <c r="AQ69" s="306"/>
    </row>
    <row r="70" spans="1:43" ht="15" customHeight="1" x14ac:dyDescent="0.3">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306">
        <f t="shared" si="0"/>
        <v>0</v>
      </c>
      <c r="Y70" s="323" t="s">
        <v>208</v>
      </c>
      <c r="Z70" s="517"/>
      <c r="AA70" s="519"/>
      <c r="AB70" s="519"/>
      <c r="AC70" s="431"/>
      <c r="AD70" s="260"/>
      <c r="AE70" s="518"/>
      <c r="AF70" s="516"/>
      <c r="AG70" s="324"/>
      <c r="AH70" s="20">
        <f t="shared" si="6"/>
        <v>0</v>
      </c>
      <c r="AI70" s="318"/>
      <c r="AJ70" s="261"/>
      <c r="AK70" s="261"/>
      <c r="AL70" s="261"/>
      <c r="AM70" s="261"/>
      <c r="AN70" s="261">
        <f>-AF70</f>
        <v>0</v>
      </c>
      <c r="AO70" s="261"/>
      <c r="AP70" s="261"/>
      <c r="AQ70" s="306"/>
    </row>
    <row r="71" spans="1:43" ht="15" customHeight="1" x14ac:dyDescent="0.3">
      <c r="A71" s="261"/>
      <c r="B71" s="261"/>
      <c r="C71" s="261"/>
      <c r="D71" s="261"/>
      <c r="E71" s="261"/>
      <c r="F71" s="261"/>
      <c r="G71" s="261"/>
      <c r="H71" s="261"/>
      <c r="I71" s="261"/>
      <c r="J71" s="261"/>
      <c r="K71" s="261"/>
      <c r="L71" s="261"/>
      <c r="M71" s="261"/>
      <c r="N71" s="261"/>
      <c r="O71" s="261"/>
      <c r="P71" s="307"/>
      <c r="Q71" s="261"/>
      <c r="R71" s="261"/>
      <c r="S71" s="261"/>
      <c r="T71" s="261"/>
      <c r="U71" s="261"/>
      <c r="V71" s="261"/>
      <c r="W71" s="261"/>
      <c r="X71" s="306">
        <f t="shared" si="0"/>
        <v>0</v>
      </c>
      <c r="Y71" s="207" t="s">
        <v>209</v>
      </c>
      <c r="Z71" s="517"/>
      <c r="AA71" s="519"/>
      <c r="AB71" s="519"/>
      <c r="AC71" s="431">
        <f>100-25</f>
        <v>75</v>
      </c>
      <c r="AD71" s="260"/>
      <c r="AE71" s="306"/>
      <c r="AF71" s="260">
        <f>-SUM(AF63:AF70)</f>
        <v>0</v>
      </c>
      <c r="AG71" s="306">
        <f>-AF71*AC71/100</f>
        <v>0</v>
      </c>
      <c r="AH71" s="20">
        <f t="shared" si="6"/>
        <v>0</v>
      </c>
      <c r="AI71" s="318">
        <f>AG71*62.71%</f>
        <v>0</v>
      </c>
      <c r="AJ71" s="318">
        <f>AG71*9.72%</f>
        <v>0</v>
      </c>
      <c r="AK71" s="261">
        <f>AG71*12.13%</f>
        <v>0</v>
      </c>
      <c r="AL71" s="261">
        <f>AG71*7.13%</f>
        <v>0</v>
      </c>
      <c r="AM71" s="261">
        <f>AG71*0%</f>
        <v>0</v>
      </c>
      <c r="AN71" s="261">
        <f>AG71*6.34%</f>
        <v>0</v>
      </c>
      <c r="AO71" s="261">
        <f>AG71*1.97%</f>
        <v>0</v>
      </c>
      <c r="AP71" s="261"/>
      <c r="AQ71" s="306"/>
    </row>
    <row r="72" spans="1:43" ht="15" customHeight="1" x14ac:dyDescent="0.3">
      <c r="A72" s="260"/>
      <c r="B72" s="261"/>
      <c r="C72" s="261"/>
      <c r="D72" s="307"/>
      <c r="E72" s="307"/>
      <c r="F72" s="174"/>
      <c r="G72" s="174"/>
      <c r="H72" s="174">
        <v>1315.45</v>
      </c>
      <c r="I72" s="174"/>
      <c r="J72" s="174"/>
      <c r="K72" s="174"/>
      <c r="L72" s="174"/>
      <c r="M72" s="174"/>
      <c r="N72" s="174"/>
      <c r="O72" s="174"/>
      <c r="P72" s="174"/>
      <c r="Q72" s="261"/>
      <c r="R72" s="261"/>
      <c r="S72" s="261"/>
      <c r="T72" s="261"/>
      <c r="U72" s="261"/>
      <c r="V72" s="261"/>
      <c r="W72" s="261"/>
      <c r="X72" s="306">
        <f t="shared" si="0"/>
        <v>1315.45</v>
      </c>
      <c r="Y72" s="207" t="s">
        <v>210</v>
      </c>
      <c r="Z72" s="260"/>
      <c r="AA72" s="261">
        <v>20</v>
      </c>
      <c r="AB72" s="261"/>
      <c r="AC72" s="321"/>
      <c r="AD72" s="260"/>
      <c r="AE72" s="306"/>
      <c r="AF72" s="260"/>
      <c r="AG72" s="306"/>
      <c r="AH72" s="20">
        <f t="shared" si="6"/>
        <v>263.08999999999997</v>
      </c>
      <c r="AI72" s="318"/>
      <c r="AJ72" s="261"/>
      <c r="AK72" s="261"/>
      <c r="AL72" s="261"/>
      <c r="AM72" s="261"/>
      <c r="AN72" s="261"/>
      <c r="AO72" s="261"/>
      <c r="AP72" s="261"/>
      <c r="AQ72" s="306">
        <f>X72*AA72/100</f>
        <v>263.08999999999997</v>
      </c>
    </row>
    <row r="73" spans="1:43" ht="15" customHeight="1" x14ac:dyDescent="0.3">
      <c r="A73" s="260"/>
      <c r="B73" s="261"/>
      <c r="C73" s="261"/>
      <c r="D73" s="307"/>
      <c r="E73" s="307"/>
      <c r="F73" s="174">
        <v>122.79</v>
      </c>
      <c r="G73" s="174"/>
      <c r="H73" s="174"/>
      <c r="I73" s="174"/>
      <c r="J73" s="174"/>
      <c r="K73" s="174"/>
      <c r="L73" s="174"/>
      <c r="M73" s="174"/>
      <c r="N73" s="174"/>
      <c r="O73" s="174"/>
      <c r="P73" s="174"/>
      <c r="Q73" s="261"/>
      <c r="R73" s="261"/>
      <c r="S73" s="261"/>
      <c r="T73" s="261"/>
      <c r="U73" s="261"/>
      <c r="V73" s="261"/>
      <c r="W73" s="261"/>
      <c r="X73" s="306">
        <f t="shared" si="0"/>
        <v>122.79</v>
      </c>
      <c r="Y73" s="207" t="s">
        <v>211</v>
      </c>
      <c r="Z73" s="260"/>
      <c r="AA73" s="261">
        <v>25</v>
      </c>
      <c r="AB73" s="261"/>
      <c r="AC73" s="321"/>
      <c r="AD73" s="260"/>
      <c r="AE73" s="306"/>
      <c r="AF73" s="260"/>
      <c r="AG73" s="306"/>
      <c r="AH73" s="20">
        <f t="shared" si="6"/>
        <v>30.697500000000002</v>
      </c>
      <c r="AI73" s="318"/>
      <c r="AJ73" s="261"/>
      <c r="AK73" s="261"/>
      <c r="AL73" s="261"/>
      <c r="AM73" s="261"/>
      <c r="AN73" s="261"/>
      <c r="AO73" s="261"/>
      <c r="AP73" s="261"/>
      <c r="AQ73" s="306">
        <f>X73*AA73/100</f>
        <v>30.697500000000002</v>
      </c>
    </row>
    <row r="74" spans="1:43" ht="15" customHeight="1" x14ac:dyDescent="0.3">
      <c r="A74" s="260"/>
      <c r="B74" s="261"/>
      <c r="C74" s="261"/>
      <c r="D74" s="307"/>
      <c r="E74" s="307"/>
      <c r="F74" s="174">
        <v>305.82</v>
      </c>
      <c r="G74" s="174"/>
      <c r="H74" s="174"/>
      <c r="I74" s="174"/>
      <c r="J74" s="174"/>
      <c r="K74" s="174"/>
      <c r="L74" s="174"/>
      <c r="M74" s="174"/>
      <c r="N74" s="174"/>
      <c r="O74" s="174"/>
      <c r="P74" s="174"/>
      <c r="Q74" s="261"/>
      <c r="R74" s="261"/>
      <c r="S74" s="261"/>
      <c r="T74" s="261"/>
      <c r="U74" s="261"/>
      <c r="V74" s="261"/>
      <c r="W74" s="261"/>
      <c r="X74" s="306">
        <f>SUM(A74:W74)</f>
        <v>305.82</v>
      </c>
      <c r="Y74" s="207" t="s">
        <v>212</v>
      </c>
      <c r="Z74" s="260"/>
      <c r="AA74" s="261">
        <v>25</v>
      </c>
      <c r="AB74" s="261"/>
      <c r="AC74" s="321"/>
      <c r="AD74" s="260"/>
      <c r="AE74" s="306"/>
      <c r="AF74" s="260"/>
      <c r="AG74" s="306"/>
      <c r="AH74" s="20">
        <f t="shared" si="6"/>
        <v>76.454999999999998</v>
      </c>
      <c r="AI74" s="318"/>
      <c r="AJ74" s="261"/>
      <c r="AK74" s="261"/>
      <c r="AL74" s="261"/>
      <c r="AM74" s="261"/>
      <c r="AN74" s="261"/>
      <c r="AO74" s="261"/>
      <c r="AP74" s="261"/>
      <c r="AQ74" s="306">
        <f>X74*AA74/100</f>
        <v>76.454999999999998</v>
      </c>
    </row>
    <row r="75" spans="1:43" ht="15" customHeight="1" x14ac:dyDescent="0.3">
      <c r="A75" s="260"/>
      <c r="B75" s="261"/>
      <c r="C75" s="261"/>
      <c r="D75" s="307"/>
      <c r="E75" s="307"/>
      <c r="F75" s="174">
        <v>75.599999999999994</v>
      </c>
      <c r="G75" s="174"/>
      <c r="H75" s="174"/>
      <c r="I75" s="174"/>
      <c r="J75" s="174"/>
      <c r="K75" s="174"/>
      <c r="L75" s="174"/>
      <c r="M75" s="174"/>
      <c r="N75" s="174"/>
      <c r="O75" s="174"/>
      <c r="P75" s="174"/>
      <c r="Q75" s="261"/>
      <c r="R75" s="261"/>
      <c r="S75" s="261"/>
      <c r="T75" s="261"/>
      <c r="U75" s="261"/>
      <c r="V75" s="261"/>
      <c r="W75" s="261"/>
      <c r="X75" s="306">
        <f t="shared" si="0"/>
        <v>75.599999999999994</v>
      </c>
      <c r="Y75" s="207" t="s">
        <v>213</v>
      </c>
      <c r="Z75" s="260"/>
      <c r="AA75" s="261">
        <v>33</v>
      </c>
      <c r="AB75" s="261"/>
      <c r="AC75" s="321"/>
      <c r="AD75" s="260"/>
      <c r="AE75" s="306"/>
      <c r="AF75" s="260"/>
      <c r="AG75" s="306"/>
      <c r="AH75" s="20">
        <f t="shared" si="6"/>
        <v>24.947999999999997</v>
      </c>
      <c r="AI75" s="318"/>
      <c r="AJ75" s="261"/>
      <c r="AK75" s="261"/>
      <c r="AL75" s="261"/>
      <c r="AM75" s="261"/>
      <c r="AN75" s="261"/>
      <c r="AO75" s="261"/>
      <c r="AP75" s="261"/>
      <c r="AQ75" s="306">
        <f>X75*AA75/100</f>
        <v>24.947999999999997</v>
      </c>
    </row>
    <row r="76" spans="1:43" ht="15" customHeight="1" x14ac:dyDescent="0.3">
      <c r="A76" s="260"/>
      <c r="B76" s="261"/>
      <c r="C76" s="261"/>
      <c r="D76" s="307"/>
      <c r="E76" s="307"/>
      <c r="F76" s="174">
        <v>417.53</v>
      </c>
      <c r="G76" s="174"/>
      <c r="H76" s="174"/>
      <c r="I76" s="174"/>
      <c r="J76" s="174"/>
      <c r="K76" s="174"/>
      <c r="L76" s="174"/>
      <c r="M76" s="174"/>
      <c r="N76" s="174"/>
      <c r="O76" s="174"/>
      <c r="P76" s="174"/>
      <c r="Q76" s="261"/>
      <c r="R76" s="261"/>
      <c r="S76" s="261"/>
      <c r="T76" s="261"/>
      <c r="U76" s="261"/>
      <c r="V76" s="261"/>
      <c r="W76" s="261"/>
      <c r="X76" s="306">
        <f t="shared" si="0"/>
        <v>417.53</v>
      </c>
      <c r="Y76" s="207" t="s">
        <v>214</v>
      </c>
      <c r="Z76" s="260"/>
      <c r="AA76" s="261">
        <v>33</v>
      </c>
      <c r="AB76" s="261"/>
      <c r="AC76" s="306"/>
      <c r="AD76" s="260"/>
      <c r="AE76" s="306"/>
      <c r="AF76" s="260"/>
      <c r="AG76" s="306"/>
      <c r="AH76" s="20">
        <f t="shared" si="6"/>
        <v>137.78489999999999</v>
      </c>
      <c r="AI76" s="318"/>
      <c r="AJ76" s="261"/>
      <c r="AK76" s="261"/>
      <c r="AL76" s="261"/>
      <c r="AM76" s="261"/>
      <c r="AN76" s="261"/>
      <c r="AO76" s="261"/>
      <c r="AP76" s="261"/>
      <c r="AQ76" s="306">
        <f>X76*AA76/100</f>
        <v>137.78489999999999</v>
      </c>
    </row>
    <row r="77" spans="1:43" ht="15" customHeight="1" x14ac:dyDescent="0.3">
      <c r="A77" s="260"/>
      <c r="B77" s="261"/>
      <c r="C77" s="261"/>
      <c r="D77" s="307"/>
      <c r="E77" s="307"/>
      <c r="F77" s="319">
        <v>259.58999999999997</v>
      </c>
      <c r="G77" s="174"/>
      <c r="H77" s="174"/>
      <c r="I77" s="174"/>
      <c r="J77" s="174"/>
      <c r="K77" s="174"/>
      <c r="L77" s="174"/>
      <c r="M77" s="174"/>
      <c r="N77" s="174"/>
      <c r="O77" s="174"/>
      <c r="P77" s="174"/>
      <c r="Q77" s="261"/>
      <c r="R77" s="261"/>
      <c r="S77" s="261"/>
      <c r="T77" s="261"/>
      <c r="U77" s="261"/>
      <c r="V77" s="261"/>
      <c r="W77" s="261"/>
      <c r="X77" s="306">
        <f t="shared" si="0"/>
        <v>259.58999999999997</v>
      </c>
      <c r="Y77" s="207" t="s">
        <v>215</v>
      </c>
      <c r="Z77" s="260"/>
      <c r="AA77" s="261">
        <v>33</v>
      </c>
      <c r="AB77" s="261"/>
      <c r="AC77" s="306"/>
      <c r="AD77" s="260"/>
      <c r="AE77" s="306"/>
      <c r="AF77" s="260"/>
      <c r="AG77" s="306"/>
      <c r="AH77" s="20">
        <f t="shared" si="6"/>
        <v>85.664699999999996</v>
      </c>
      <c r="AI77" s="318"/>
      <c r="AJ77" s="261"/>
      <c r="AK77" s="261"/>
      <c r="AL77" s="261"/>
      <c r="AM77" s="261"/>
      <c r="AN77" s="261"/>
      <c r="AO77" s="261"/>
      <c r="AP77" s="261">
        <f>X77*AA77%</f>
        <v>85.664699999999996</v>
      </c>
      <c r="AQ77" s="306"/>
    </row>
    <row r="78" spans="1:43" ht="15" customHeight="1" x14ac:dyDescent="0.25">
      <c r="A78" s="247"/>
      <c r="B78" s="248"/>
      <c r="C78" s="248"/>
      <c r="D78" s="325"/>
      <c r="E78" s="325"/>
      <c r="F78" s="527">
        <v>70.680000000000007</v>
      </c>
      <c r="G78" s="325"/>
      <c r="H78" s="325"/>
      <c r="I78" s="325"/>
      <c r="J78" s="325"/>
      <c r="K78" s="248"/>
      <c r="L78" s="248"/>
      <c r="M78" s="248"/>
      <c r="N78" s="248"/>
      <c r="O78" s="248"/>
      <c r="P78" s="248"/>
      <c r="Q78" s="248"/>
      <c r="R78" s="248"/>
      <c r="S78" s="248"/>
      <c r="T78" s="248"/>
      <c r="U78" s="248"/>
      <c r="V78" s="248"/>
      <c r="W78" s="248"/>
      <c r="X78" s="306">
        <f t="shared" si="0"/>
        <v>70.680000000000007</v>
      </c>
      <c r="Y78" s="219" t="s">
        <v>216</v>
      </c>
      <c r="Z78" s="247"/>
      <c r="AA78" s="261">
        <v>33</v>
      </c>
      <c r="AB78" s="248"/>
      <c r="AC78" s="327"/>
      <c r="AD78" s="260">
        <f>-AE78/$D$2%</f>
        <v>0</v>
      </c>
      <c r="AE78" s="326"/>
      <c r="AF78" s="247"/>
      <c r="AG78" s="327"/>
      <c r="AH78" s="20">
        <f t="shared" si="6"/>
        <v>23.324400000000001</v>
      </c>
      <c r="AI78" s="328"/>
      <c r="AJ78" s="248"/>
      <c r="AK78" s="248"/>
      <c r="AL78" s="248"/>
      <c r="AM78" s="248"/>
      <c r="AN78" s="248"/>
      <c r="AO78" s="248"/>
      <c r="AP78" s="248"/>
      <c r="AQ78" s="306">
        <f>X78*AA78/100+AE78*AA78%</f>
        <v>23.324400000000001</v>
      </c>
    </row>
    <row r="79" spans="1:43" ht="15" customHeight="1" x14ac:dyDescent="0.25">
      <c r="A79" s="247"/>
      <c r="B79" s="248"/>
      <c r="C79" s="248"/>
      <c r="D79" s="325"/>
      <c r="E79" s="325"/>
      <c r="F79" s="325"/>
      <c r="G79" s="528">
        <v>508.14</v>
      </c>
      <c r="H79" s="307">
        <v>2.73</v>
      </c>
      <c r="I79" s="325"/>
      <c r="J79" s="325"/>
      <c r="K79" s="248"/>
      <c r="L79" s="248"/>
      <c r="M79" s="248"/>
      <c r="N79" s="248"/>
      <c r="O79" s="248"/>
      <c r="P79" s="248"/>
      <c r="Q79" s="248"/>
      <c r="R79" s="248"/>
      <c r="S79" s="248"/>
      <c r="T79" s="248"/>
      <c r="U79" s="248"/>
      <c r="V79" s="248"/>
      <c r="W79" s="248"/>
      <c r="X79" s="306">
        <f t="shared" si="0"/>
        <v>510.87</v>
      </c>
      <c r="Y79" s="219" t="s">
        <v>217</v>
      </c>
      <c r="Z79" s="247"/>
      <c r="AA79" s="261">
        <v>33</v>
      </c>
      <c r="AB79" s="248"/>
      <c r="AC79" s="327"/>
      <c r="AD79" s="247"/>
      <c r="AE79" s="327"/>
      <c r="AF79" s="247"/>
      <c r="AG79" s="327"/>
      <c r="AH79" s="20">
        <f t="shared" si="6"/>
        <v>168.58709999999999</v>
      </c>
      <c r="AI79" s="328"/>
      <c r="AJ79" s="248"/>
      <c r="AK79" s="248"/>
      <c r="AL79" s="248"/>
      <c r="AM79" s="248"/>
      <c r="AN79" s="248"/>
      <c r="AO79" s="248"/>
      <c r="AP79" s="248"/>
      <c r="AQ79" s="306">
        <f>X79*AA79/100</f>
        <v>168.58709999999999</v>
      </c>
    </row>
    <row r="80" spans="1:43" ht="15" customHeight="1" thickBot="1" x14ac:dyDescent="0.3">
      <c r="A80" s="247"/>
      <c r="B80" s="248"/>
      <c r="C80" s="248"/>
      <c r="D80" s="527">
        <v>62.75</v>
      </c>
      <c r="E80" s="325"/>
      <c r="F80" s="527">
        <v>49.04</v>
      </c>
      <c r="G80" s="325"/>
      <c r="H80" s="325"/>
      <c r="I80" s="325"/>
      <c r="J80" s="325"/>
      <c r="K80" s="248"/>
      <c r="L80" s="248"/>
      <c r="M80" s="248"/>
      <c r="N80" s="248"/>
      <c r="O80" s="248"/>
      <c r="P80" s="248"/>
      <c r="Q80" s="248"/>
      <c r="R80" s="248"/>
      <c r="S80" s="248"/>
      <c r="T80" s="248"/>
      <c r="U80" s="248"/>
      <c r="V80" s="248"/>
      <c r="W80" s="248"/>
      <c r="X80" s="327">
        <f t="shared" si="0"/>
        <v>111.78999999999999</v>
      </c>
      <c r="Y80" s="208" t="s">
        <v>218</v>
      </c>
      <c r="Z80" s="267"/>
      <c r="AA80" s="261">
        <v>33</v>
      </c>
      <c r="AB80" s="268"/>
      <c r="AC80" s="329"/>
      <c r="AD80" s="267"/>
      <c r="AE80" s="329"/>
      <c r="AF80" s="267"/>
      <c r="AG80" s="329"/>
      <c r="AH80" s="24">
        <f t="shared" si="6"/>
        <v>36.890699999999995</v>
      </c>
      <c r="AI80" s="330"/>
      <c r="AJ80" s="268"/>
      <c r="AK80" s="268"/>
      <c r="AL80" s="268"/>
      <c r="AM80" s="268"/>
      <c r="AN80" s="268"/>
      <c r="AO80" s="268"/>
      <c r="AP80" s="268"/>
      <c r="AQ80" s="306">
        <f>X80*AA80/100</f>
        <v>36.890699999999995</v>
      </c>
    </row>
    <row r="81" spans="1:44" ht="15" customHeight="1" thickBot="1" x14ac:dyDescent="0.3">
      <c r="A81" s="331">
        <f t="shared" ref="A81:W81" si="9">SUM(A8:A80)</f>
        <v>927.241061863901</v>
      </c>
      <c r="B81" s="332">
        <f t="shared" si="9"/>
        <v>164.77</v>
      </c>
      <c r="C81" s="332">
        <f t="shared" si="9"/>
        <v>2104.29</v>
      </c>
      <c r="D81" s="332">
        <f t="shared" si="9"/>
        <v>301.76</v>
      </c>
      <c r="E81" s="332">
        <f t="shared" si="9"/>
        <v>1826.32</v>
      </c>
      <c r="F81" s="332">
        <f t="shared" si="9"/>
        <v>1301.05</v>
      </c>
      <c r="G81" s="332">
        <f t="shared" si="9"/>
        <v>508.14</v>
      </c>
      <c r="H81" s="332">
        <f t="shared" si="9"/>
        <v>1318.18</v>
      </c>
      <c r="I81" s="332">
        <f t="shared" si="9"/>
        <v>216.42</v>
      </c>
      <c r="J81" s="332">
        <f t="shared" si="9"/>
        <v>14.45</v>
      </c>
      <c r="K81" s="332">
        <f t="shared" si="9"/>
        <v>0</v>
      </c>
      <c r="L81" s="332">
        <f t="shared" si="9"/>
        <v>1.4</v>
      </c>
      <c r="M81" s="332">
        <f t="shared" si="9"/>
        <v>0</v>
      </c>
      <c r="N81" s="332">
        <f t="shared" si="9"/>
        <v>0</v>
      </c>
      <c r="O81" s="332">
        <f t="shared" si="9"/>
        <v>3.5420000000000003</v>
      </c>
      <c r="P81" s="332">
        <f t="shared" si="9"/>
        <v>0</v>
      </c>
      <c r="Q81" s="332">
        <f t="shared" si="9"/>
        <v>261.89999999999998</v>
      </c>
      <c r="R81" s="332">
        <f t="shared" si="9"/>
        <v>139.28</v>
      </c>
      <c r="S81" s="332">
        <f t="shared" si="9"/>
        <v>15.27</v>
      </c>
      <c r="T81" s="332">
        <f t="shared" si="9"/>
        <v>4.1580000000000004</v>
      </c>
      <c r="U81" s="332">
        <f t="shared" si="9"/>
        <v>0</v>
      </c>
      <c r="V81" s="332">
        <f t="shared" si="9"/>
        <v>26.279799999999998</v>
      </c>
      <c r="W81" s="332">
        <f t="shared" si="9"/>
        <v>116.2</v>
      </c>
      <c r="X81" s="333">
        <f>SUM(X8:X80)</f>
        <v>9250.6508618639036</v>
      </c>
      <c r="Y81" s="25" t="s">
        <v>30</v>
      </c>
      <c r="Z81" s="334"/>
      <c r="AA81" s="334"/>
      <c r="AB81" s="334"/>
      <c r="AC81" s="334"/>
      <c r="AD81" s="331">
        <f t="shared" ref="AD81:AQ81" si="10">SUM(AD8:AD80)</f>
        <v>3.5527136788005009E-14</v>
      </c>
      <c r="AE81" s="333">
        <f t="shared" si="10"/>
        <v>1276.5927035056447</v>
      </c>
      <c r="AF81" s="331">
        <f t="shared" si="10"/>
        <v>0</v>
      </c>
      <c r="AG81" s="333">
        <f t="shared" si="10"/>
        <v>1370.0742599999999</v>
      </c>
      <c r="AH81" s="25">
        <f t="shared" si="10"/>
        <v>5549.3396735400011</v>
      </c>
      <c r="AI81" s="335">
        <f t="shared" si="10"/>
        <v>2912.816359246</v>
      </c>
      <c r="AJ81" s="332">
        <f t="shared" si="10"/>
        <v>251.80072249200001</v>
      </c>
      <c r="AK81" s="332">
        <f t="shared" si="10"/>
        <v>235.57613373799998</v>
      </c>
      <c r="AL81" s="332">
        <f t="shared" si="10"/>
        <v>221.73404245799998</v>
      </c>
      <c r="AM81" s="332">
        <f t="shared" si="10"/>
        <v>16.058286799999998</v>
      </c>
      <c r="AN81" s="332">
        <f t="shared" si="10"/>
        <v>951.946143484</v>
      </c>
      <c r="AO81" s="332">
        <f t="shared" si="10"/>
        <v>28.210462921999998</v>
      </c>
      <c r="AP81" s="332">
        <f t="shared" si="10"/>
        <v>162.585149</v>
      </c>
      <c r="AQ81" s="333">
        <f t="shared" si="10"/>
        <v>768.61237339999991</v>
      </c>
    </row>
    <row r="82" spans="1:44" ht="15" customHeight="1" x14ac:dyDescent="0.35">
      <c r="A82" s="310">
        <f t="shared" ref="A82:V82" si="11">A81*A89/1000</f>
        <v>220.68337272360841</v>
      </c>
      <c r="B82" s="311">
        <f t="shared" si="11"/>
        <v>11.121975000000001</v>
      </c>
      <c r="C82" s="311">
        <f t="shared" si="11"/>
        <v>197.80326000000002</v>
      </c>
      <c r="D82" s="311">
        <f t="shared" si="11"/>
        <v>23.718336000000001</v>
      </c>
      <c r="E82" s="311">
        <f t="shared" si="11"/>
        <v>135.14767999999998</v>
      </c>
      <c r="F82" s="311">
        <f t="shared" si="11"/>
        <v>96.277699999999996</v>
      </c>
      <c r="G82" s="311">
        <f t="shared" si="11"/>
        <v>36.586080000000003</v>
      </c>
      <c r="H82" s="311">
        <f t="shared" si="11"/>
        <v>96.227140000000006</v>
      </c>
      <c r="I82" s="311">
        <f t="shared" si="11"/>
        <v>12.314297999999999</v>
      </c>
      <c r="J82" s="311">
        <f t="shared" si="11"/>
        <v>0</v>
      </c>
      <c r="K82" s="311">
        <f t="shared" si="11"/>
        <v>0</v>
      </c>
      <c r="L82" s="311">
        <f t="shared" si="11"/>
        <v>0</v>
      </c>
      <c r="M82" s="311">
        <f t="shared" si="11"/>
        <v>0</v>
      </c>
      <c r="N82" s="311">
        <v>0</v>
      </c>
      <c r="O82" s="311">
        <f t="shared" si="11"/>
        <v>0</v>
      </c>
      <c r="P82" s="311">
        <f t="shared" si="11"/>
        <v>0</v>
      </c>
      <c r="Q82" s="311">
        <f t="shared" si="11"/>
        <v>0</v>
      </c>
      <c r="R82" s="311">
        <f t="shared" si="11"/>
        <v>0</v>
      </c>
      <c r="S82" s="311">
        <f t="shared" si="11"/>
        <v>0</v>
      </c>
      <c r="T82" s="311">
        <f t="shared" si="11"/>
        <v>0</v>
      </c>
      <c r="U82" s="311">
        <f t="shared" si="11"/>
        <v>0</v>
      </c>
      <c r="V82" s="311">
        <f t="shared" si="11"/>
        <v>0</v>
      </c>
      <c r="W82" s="311">
        <f>W81*W89/1000</f>
        <v>9.5539640000000006</v>
      </c>
      <c r="X82" s="313">
        <f>SUM(A82:W82)</f>
        <v>839.43380572360832</v>
      </c>
      <c r="Y82" s="26" t="s">
        <v>491</v>
      </c>
      <c r="Z82" s="336">
        <f>X82*1000/D1</f>
        <v>9.2735647292127439</v>
      </c>
      <c r="AA82" s="337" t="s">
        <v>219</v>
      </c>
      <c r="AB82" s="337"/>
      <c r="AC82" s="338"/>
      <c r="AD82" s="22"/>
      <c r="AE82" s="22"/>
      <c r="AF82" s="22"/>
      <c r="AG82" s="22"/>
      <c r="AH82" s="22"/>
      <c r="AI82" s="22"/>
      <c r="AJ82" s="22"/>
      <c r="AK82" s="22"/>
      <c r="AL82" s="22"/>
      <c r="AM82" s="22"/>
      <c r="AN82" s="22"/>
      <c r="AO82" s="22"/>
      <c r="AP82" s="22"/>
      <c r="AQ82" s="22"/>
    </row>
    <row r="83" spans="1:44" ht="15" customHeight="1" x14ac:dyDescent="0.3">
      <c r="A83" s="260"/>
      <c r="B83" s="261"/>
      <c r="C83" s="261"/>
      <c r="D83" s="261"/>
      <c r="E83" s="261"/>
      <c r="F83" s="261"/>
      <c r="G83" s="261"/>
      <c r="H83" s="261"/>
      <c r="I83" s="261"/>
      <c r="J83" s="261"/>
      <c r="K83" s="261"/>
      <c r="L83" s="261"/>
      <c r="M83" s="261"/>
      <c r="N83" s="261"/>
      <c r="O83" s="174">
        <v>299.89999999999998</v>
      </c>
      <c r="P83" s="174">
        <v>952</v>
      </c>
      <c r="Q83" s="174">
        <v>974.5</v>
      </c>
      <c r="R83" s="174">
        <v>438</v>
      </c>
      <c r="S83" s="307"/>
      <c r="T83" s="261"/>
      <c r="U83" s="261"/>
      <c r="V83" s="261"/>
      <c r="W83" s="261"/>
      <c r="X83" s="306">
        <f>SUM(A83:W83)</f>
        <v>2664.4</v>
      </c>
      <c r="Y83" s="20" t="s">
        <v>220</v>
      </c>
      <c r="Z83" s="27">
        <f>(SUM(J14:V14)+AD15*A87%+SUM(J19:V19)+SUM(J20:V20)+SUM(J21:V21)+SUM(J22:V22)+SUM(J25:V25)+SUM(J72:V72)+SUM(J73:V73)+SUM(J74:V74)+SUM(J75:V75)+SUM(J76:V76)+SUM(J77:V77)+SUM(J78:V78)+SUM(J79:V79)+SUM(J80:V80)+SUM(J26:V26)*(Z26%+AB26%)+SUM(J27:V27)*(Z27%+AB27%)+SUM(J28:V28)*(Z28%+AB28%)+SUM(J29:V29)*(Z29%+AB29%)+SUM(J30:V30)*(Z30%+AB30%)+SUM(J32:V32)*(Z32%+AA32%+AB32%)+SUM(J31:V31)*(AA31%)+SUM(J33:V33)*(Z33%+AB33%)+SUM(J34:V34)*(Z34%+AB34%)+SUM(J35:V35)*(Z35%+AB35%)+SUM(J36:V36)*(Z36%+AB36%)+SUM(J37:V37)+SUM(J40:V40)*(Z40%+AB40%)+SUM(J41:V41)*(Z41%+AB41%)+SUM(J42:V42)*(Z42%+AB42%)+SUM(J44:V44)*(Z44%+AB44%)+SUM(J45:V45)*(Z45%+AB45%)+SUM(J46:V46)*(Z46%+AB46%)+SUM(J47:V47)*(Z47%+AB47%)+SUM(J48:V48)+SUM(J50:V50)*(Z50%+AB50%)+SUM(J51:V51)*(Z51%+AB51%)+SUM(J53:V53)*(Z53%+AA53%+AB53%)+SUM(J54:V54)*(Z54%+AA54%+AB54%)+SUM(J56:V56)*(Z56%+AB56%)+SUM(J57:V57)+SUM(J59:V59)*(Z59%+AB59%)+SUM(J60:V60)*(Z60%+AB60%)+SUM(J61:V61)*(Z61%+AB61%)+SUM(J63:V63)*(Z63%+AB63%)+SUM(J64:V64)*(Z64%+AB64%)+SUM(J65:V65)*(Z65%+AB65%)+SUM(J66:V66)*(Z66%+AB66%)+SUM(J67:V67)*(Z67%+AB67%)+SUM(J68:V68)*(Z68%+AB68%))/(SUM(X8:X14)+SUM(X16:X25)+X32*AA32%+X53*AA53%+X54*AA54%+SUM(X72:X80)+(AG39/AC39%+AG43/AC43%+AG52/AC52%+AG55/AC55%+AG62/AC62%+AG71/AC71%)+AE81+SUM(AE8:AE14)*(1-D2%)+(-AF70))*100</f>
        <v>4.7487823979463686</v>
      </c>
      <c r="AA83" s="495" t="s">
        <v>221</v>
      </c>
      <c r="AB83" s="529"/>
      <c r="AC83" s="530"/>
      <c r="AD83" s="22"/>
      <c r="AE83" s="22"/>
      <c r="AF83" s="22"/>
      <c r="AG83" s="22"/>
      <c r="AH83" s="22"/>
      <c r="AI83" s="22"/>
      <c r="AJ83" s="22"/>
      <c r="AK83" s="22"/>
      <c r="AL83" s="22"/>
      <c r="AM83" s="22"/>
      <c r="AN83" s="22"/>
      <c r="AO83" s="22"/>
      <c r="AP83" s="22"/>
      <c r="AQ83" s="22"/>
    </row>
    <row r="84" spans="1:44" ht="15" customHeight="1" thickBot="1" x14ac:dyDescent="0.35">
      <c r="A84" s="267"/>
      <c r="B84" s="268"/>
      <c r="C84" s="268"/>
      <c r="D84" s="268"/>
      <c r="E84" s="268"/>
      <c r="F84" s="268"/>
      <c r="G84" s="268"/>
      <c r="H84" s="268"/>
      <c r="I84" s="268"/>
      <c r="J84" s="268" t="str">
        <f>IF(J83&gt;0,J81/J83*100,"")</f>
        <v/>
      </c>
      <c r="K84" s="268" t="str">
        <f t="shared" ref="K84:W84" si="12">IF(K83&gt;0,K81/K83*100,"")</f>
        <v/>
      </c>
      <c r="L84" s="268" t="str">
        <f t="shared" si="12"/>
        <v/>
      </c>
      <c r="M84" s="268" t="str">
        <f t="shared" si="12"/>
        <v/>
      </c>
      <c r="N84" s="268" t="str">
        <f t="shared" si="12"/>
        <v/>
      </c>
      <c r="O84" s="268">
        <f t="shared" si="12"/>
        <v>1.1810603534511506</v>
      </c>
      <c r="P84" s="268">
        <f t="shared" si="12"/>
        <v>0</v>
      </c>
      <c r="Q84" s="268">
        <f t="shared" si="12"/>
        <v>26.875320677270391</v>
      </c>
      <c r="R84" s="268">
        <f t="shared" si="12"/>
        <v>31.799086757990867</v>
      </c>
      <c r="S84" s="268" t="str">
        <f t="shared" si="12"/>
        <v/>
      </c>
      <c r="T84" s="268" t="str">
        <f t="shared" si="12"/>
        <v/>
      </c>
      <c r="U84" s="268" t="str">
        <f t="shared" si="12"/>
        <v/>
      </c>
      <c r="V84" s="268" t="str">
        <f>IF(V83&gt;0,V81/V83*100,"")</f>
        <v/>
      </c>
      <c r="W84" s="268" t="str">
        <f t="shared" si="12"/>
        <v/>
      </c>
      <c r="X84" s="329">
        <f>SUMIF(J83:W83,"&gt;0",J81:W81)/SUM(J83:W83)%</f>
        <v>15.189986488515236</v>
      </c>
      <c r="Y84" s="24" t="s">
        <v>222</v>
      </c>
      <c r="Z84" s="531">
        <f>SUM(J81:V81)/X81*100</f>
        <v>5.0405080351940752</v>
      </c>
      <c r="AA84" s="497" t="s">
        <v>223</v>
      </c>
      <c r="AB84" s="532"/>
      <c r="AC84" s="533"/>
      <c r="AD84" s="22"/>
      <c r="AE84" s="22"/>
      <c r="AF84" s="22"/>
      <c r="AG84" s="22"/>
      <c r="AH84" s="22"/>
      <c r="AI84" s="22"/>
      <c r="AJ84" s="22"/>
      <c r="AK84" s="22"/>
      <c r="AL84" s="22"/>
      <c r="AM84" s="22"/>
      <c r="AN84" s="22"/>
      <c r="AO84" s="22"/>
      <c r="AP84" s="22"/>
      <c r="AQ84" s="22"/>
    </row>
    <row r="85" spans="1:44" ht="15" customHeight="1" thickBo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5">
      <c r="A86" s="534" t="s">
        <v>224</v>
      </c>
      <c r="B86" s="581" t="str">
        <f t="shared" ref="B86:W86" si="13">B7</f>
        <v xml:space="preserve">  LPG og petroleum</v>
      </c>
      <c r="C86" s="581" t="str">
        <f t="shared" si="13"/>
        <v xml:space="preserve">  Kul</v>
      </c>
      <c r="D86" s="581" t="str">
        <f t="shared" si="13"/>
        <v xml:space="preserve">  Fuelolie</v>
      </c>
      <c r="E86" s="581" t="str">
        <f t="shared" si="13"/>
        <v xml:space="preserve">  Brændselsolie</v>
      </c>
      <c r="F86" s="581" t="str">
        <f t="shared" si="13"/>
        <v xml:space="preserve">  Dieselolie</v>
      </c>
      <c r="G86" s="581" t="str">
        <f t="shared" si="13"/>
        <v xml:space="preserve">  JP1</v>
      </c>
      <c r="H86" s="581" t="str">
        <f t="shared" si="13"/>
        <v xml:space="preserve">  Benzin</v>
      </c>
      <c r="I86" s="581" t="str">
        <f t="shared" si="13"/>
        <v xml:space="preserve">  Naturgas</v>
      </c>
      <c r="J86" s="581" t="str">
        <f t="shared" si="13"/>
        <v xml:space="preserve">  Vindenergi</v>
      </c>
      <c r="K86" s="581" t="str">
        <f t="shared" si="13"/>
        <v xml:space="preserve">  Vandenergi</v>
      </c>
      <c r="L86" s="581" t="str">
        <f t="shared" si="13"/>
        <v xml:space="preserve">  Solenergi</v>
      </c>
      <c r="M86" s="581" t="str">
        <f t="shared" si="13"/>
        <v xml:space="preserve">  Geotermi</v>
      </c>
      <c r="N86" s="581" t="str">
        <f t="shared" si="13"/>
        <v xml:space="preserve">  Varmekilder til varmepumper</v>
      </c>
      <c r="O86" s="581" t="str">
        <f t="shared" si="13"/>
        <v xml:space="preserve">  Husdyrsgødning</v>
      </c>
      <c r="P86" s="581" t="str">
        <f t="shared" si="13"/>
        <v xml:space="preserve">  Biobrændstof og energiafgrøder</v>
      </c>
      <c r="Q86" s="581" t="str">
        <f t="shared" si="13"/>
        <v xml:space="preserve">  Halm</v>
      </c>
      <c r="R86" s="581" t="str">
        <f t="shared" si="13"/>
        <v xml:space="preserve">  Brænde og træflis</v>
      </c>
      <c r="S86" s="581" t="str">
        <f t="shared" si="13"/>
        <v xml:space="preserve">  Træpiller og træaffald</v>
      </c>
      <c r="T86" s="581" t="str">
        <f t="shared" si="13"/>
        <v xml:space="preserve">  Organisk affald, industri</v>
      </c>
      <c r="U86" s="581" t="str">
        <f t="shared" si="13"/>
        <v xml:space="preserve">  Organisk affald, husholdninger</v>
      </c>
      <c r="V86" s="581" t="str">
        <f t="shared" si="13"/>
        <v xml:space="preserve">  Deponi, slam, renseanlæg</v>
      </c>
      <c r="W86" s="584" t="str">
        <f t="shared" si="13"/>
        <v xml:space="preserve">  Affald, ikke bionedbrydeligt</v>
      </c>
      <c r="X86" s="6"/>
      <c r="Y86" s="6"/>
      <c r="Z86" s="6"/>
      <c r="AA86" s="6"/>
      <c r="AB86" s="6"/>
      <c r="AC86" s="6"/>
      <c r="AD86" s="6"/>
      <c r="AE86" s="6"/>
      <c r="AF86" s="6"/>
      <c r="AG86" s="6"/>
      <c r="AH86" s="6"/>
      <c r="AI86" s="6"/>
      <c r="AJ86" s="6"/>
      <c r="AK86" s="6"/>
      <c r="AL86" s="6"/>
      <c r="AM86" s="6"/>
      <c r="AN86" s="6"/>
      <c r="AO86" s="6"/>
      <c r="AP86" s="6"/>
      <c r="AQ86" s="6"/>
    </row>
    <row r="87" spans="1:44" ht="19.2" x14ac:dyDescent="0.25">
      <c r="A87" s="535">
        <v>0</v>
      </c>
      <c r="B87" s="582"/>
      <c r="C87" s="582"/>
      <c r="D87" s="582"/>
      <c r="E87" s="582"/>
      <c r="F87" s="582"/>
      <c r="G87" s="582"/>
      <c r="H87" s="582"/>
      <c r="I87" s="582"/>
      <c r="J87" s="582"/>
      <c r="K87" s="582"/>
      <c r="L87" s="582"/>
      <c r="M87" s="582"/>
      <c r="N87" s="582"/>
      <c r="O87" s="582"/>
      <c r="P87" s="582"/>
      <c r="Q87" s="582"/>
      <c r="R87" s="582"/>
      <c r="S87" s="582"/>
      <c r="T87" s="582"/>
      <c r="U87" s="582"/>
      <c r="V87" s="582"/>
      <c r="W87" s="585"/>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3">
      <c r="A88" s="28" t="s">
        <v>225</v>
      </c>
      <c r="B88" s="583"/>
      <c r="C88" s="583"/>
      <c r="D88" s="583"/>
      <c r="E88" s="583"/>
      <c r="F88" s="583"/>
      <c r="G88" s="583"/>
      <c r="H88" s="583"/>
      <c r="I88" s="583"/>
      <c r="J88" s="583"/>
      <c r="K88" s="583"/>
      <c r="L88" s="583"/>
      <c r="M88" s="583"/>
      <c r="N88" s="583"/>
      <c r="O88" s="583"/>
      <c r="P88" s="583"/>
      <c r="Q88" s="583"/>
      <c r="R88" s="583"/>
      <c r="S88" s="583"/>
      <c r="T88" s="583"/>
      <c r="U88" s="583"/>
      <c r="V88" s="583"/>
      <c r="W88" s="586"/>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5">
      <c r="A89" s="29">
        <v>238</v>
      </c>
      <c r="B89" s="341">
        <v>67.5</v>
      </c>
      <c r="C89" s="341">
        <v>94</v>
      </c>
      <c r="D89" s="341">
        <v>78.599999999999994</v>
      </c>
      <c r="E89" s="341">
        <v>74</v>
      </c>
      <c r="F89" s="341">
        <v>74</v>
      </c>
      <c r="G89" s="341">
        <v>72</v>
      </c>
      <c r="H89" s="341">
        <v>73</v>
      </c>
      <c r="I89" s="341">
        <v>56.9</v>
      </c>
      <c r="J89" s="30"/>
      <c r="K89" s="30"/>
      <c r="L89" s="30"/>
      <c r="M89" s="30"/>
      <c r="N89" s="31"/>
      <c r="O89" s="30"/>
      <c r="P89" s="30"/>
      <c r="Q89" s="30"/>
      <c r="R89" s="30"/>
      <c r="S89" s="30"/>
      <c r="T89" s="30"/>
      <c r="U89" s="30"/>
      <c r="V89" s="31"/>
      <c r="W89" s="342">
        <v>82.22</v>
      </c>
      <c r="X89" s="343" t="s">
        <v>492</v>
      </c>
      <c r="Y89" s="32"/>
      <c r="Z89" s="33"/>
      <c r="AA89" s="33"/>
      <c r="AB89" s="33"/>
      <c r="AC89" s="33"/>
      <c r="AD89" s="33"/>
      <c r="AE89" s="33"/>
      <c r="AF89" s="33"/>
      <c r="AG89" s="33"/>
      <c r="AH89" s="33"/>
      <c r="AI89" s="33"/>
      <c r="AJ89" s="33"/>
      <c r="AK89" s="33"/>
      <c r="AL89" s="33"/>
      <c r="AM89" s="33"/>
      <c r="AN89" s="33"/>
      <c r="AO89" s="33"/>
      <c r="AP89" s="33"/>
      <c r="AQ89" s="33"/>
    </row>
    <row r="90" spans="1:44"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5">
      <c r="Y91" s="21"/>
    </row>
    <row r="92" spans="1:44" x14ac:dyDescent="0.25">
      <c r="Y92" s="6"/>
    </row>
    <row r="93" spans="1:44" ht="12.75" customHeight="1" x14ac:dyDescent="0.4">
      <c r="A93" s="35"/>
      <c r="Y93" s="21"/>
    </row>
    <row r="95" spans="1:44" x14ac:dyDescent="0.25">
      <c r="Y95" s="21"/>
    </row>
    <row r="96" spans="1:44" x14ac:dyDescent="0.25">
      <c r="Y96" s="21"/>
    </row>
  </sheetData>
  <mergeCells count="30">
    <mergeCell ref="D1:E1"/>
    <mergeCell ref="Y1:Y2"/>
    <mergeCell ref="X3:Z4"/>
    <mergeCell ref="A6:X6"/>
    <mergeCell ref="Z6:AC6"/>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V86:V88"/>
    <mergeCell ref="W86:W88"/>
    <mergeCell ref="P86:P88"/>
    <mergeCell ref="Q86:Q88"/>
    <mergeCell ref="R86:R88"/>
    <mergeCell ref="S86:S88"/>
    <mergeCell ref="T86:T88"/>
    <mergeCell ref="U86:U88"/>
    <mergeCell ref="O86:O8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E384"/>
  <sheetViews>
    <sheetView topLeftCell="A4" zoomScale="59" zoomScaleNormal="59" workbookViewId="0">
      <selection activeCell="E10" sqref="E10"/>
    </sheetView>
  </sheetViews>
  <sheetFormatPr defaultColWidth="9.109375" defaultRowHeight="13.8" x14ac:dyDescent="0.25"/>
  <cols>
    <col min="1" max="1" width="8.6640625" style="46" customWidth="1"/>
    <col min="2" max="2" width="42.44140625" style="46" customWidth="1"/>
    <col min="3" max="3" width="12" style="46" customWidth="1"/>
    <col min="4" max="4" width="22.44140625" style="46" customWidth="1"/>
    <col min="5" max="5" width="23.5546875" style="46" customWidth="1"/>
    <col min="6" max="6" width="12.88671875" style="46" customWidth="1"/>
    <col min="7" max="7" width="36" style="46" customWidth="1"/>
    <col min="8" max="8" width="23.5546875" style="46" customWidth="1"/>
    <col min="9" max="9" width="25" style="46" customWidth="1"/>
    <col min="10" max="10" width="31.109375" style="46" customWidth="1"/>
    <col min="11" max="12" width="14.44140625" style="46" customWidth="1"/>
    <col min="13" max="13" width="38.5546875" style="46" customWidth="1"/>
    <col min="14" max="14" width="16.44140625" style="46" customWidth="1"/>
    <col min="15" max="18" width="14.44140625" style="46" customWidth="1"/>
    <col min="19" max="19" width="22.5546875" style="46" customWidth="1"/>
    <col min="20" max="20" width="21.5546875" style="64" customWidth="1"/>
    <col min="21" max="32" width="9.109375" style="64"/>
    <col min="33" max="33" width="11.109375" style="64" customWidth="1"/>
    <col min="34" max="34" width="13.5546875" style="64" customWidth="1"/>
    <col min="35" max="16384" width="9.109375" style="64"/>
  </cols>
  <sheetData>
    <row r="1" spans="1:34" ht="33.75" customHeight="1" x14ac:dyDescent="0.5">
      <c r="A1" s="481" t="s">
        <v>482</v>
      </c>
      <c r="B1" s="481"/>
      <c r="C1" s="64"/>
      <c r="D1" s="64"/>
      <c r="E1" s="64"/>
      <c r="F1" s="64"/>
      <c r="G1" s="64"/>
      <c r="H1" s="64"/>
      <c r="I1" s="64"/>
      <c r="J1" s="64"/>
      <c r="K1" s="64"/>
      <c r="L1" s="64"/>
      <c r="M1" s="64"/>
      <c r="N1" s="64"/>
      <c r="O1" s="64"/>
      <c r="P1" s="64"/>
      <c r="Q1" s="64"/>
      <c r="R1" s="64"/>
      <c r="S1" s="64"/>
    </row>
    <row r="2" spans="1:34" ht="21" customHeight="1" x14ac:dyDescent="0.25">
      <c r="B2" s="73"/>
      <c r="C2" s="80"/>
      <c r="J2" s="80"/>
      <c r="T2" s="73"/>
      <c r="U2" s="73"/>
      <c r="V2" s="73"/>
      <c r="W2" s="73"/>
      <c r="X2" s="73"/>
      <c r="Y2" s="73"/>
      <c r="Z2" s="73"/>
      <c r="AA2" s="73"/>
      <c r="AB2" s="73"/>
      <c r="AC2" s="73"/>
      <c r="AD2" s="73"/>
      <c r="AE2" s="73"/>
    </row>
    <row r="3" spans="1:34" ht="22.8" x14ac:dyDescent="0.4">
      <c r="A3" s="64"/>
      <c r="B3" s="65" t="s">
        <v>344</v>
      </c>
      <c r="C3" s="64"/>
      <c r="D3" s="64"/>
      <c r="E3" s="64"/>
      <c r="F3" s="64"/>
      <c r="G3" s="64"/>
      <c r="H3" s="64"/>
      <c r="I3" s="64"/>
      <c r="J3" s="64"/>
      <c r="K3" s="64"/>
      <c r="L3" s="64"/>
      <c r="M3" s="65" t="s">
        <v>388</v>
      </c>
      <c r="N3" s="64"/>
      <c r="O3" s="64"/>
      <c r="P3" s="64"/>
      <c r="Q3" s="64"/>
      <c r="R3" s="64"/>
      <c r="S3" s="64"/>
    </row>
    <row r="4" spans="1:34" x14ac:dyDescent="0.25">
      <c r="L4" s="189"/>
      <c r="T4" s="73"/>
      <c r="U4" s="73"/>
      <c r="V4" s="73"/>
      <c r="W4" s="73"/>
      <c r="X4" s="73"/>
      <c r="Y4" s="73"/>
      <c r="Z4" s="73"/>
      <c r="AA4" s="73"/>
      <c r="AB4" s="73"/>
      <c r="AC4" s="73"/>
      <c r="AD4" s="73"/>
      <c r="AE4" s="73"/>
    </row>
    <row r="5" spans="1:34" ht="16.2" x14ac:dyDescent="0.25">
      <c r="A5" s="596" t="s">
        <v>458</v>
      </c>
      <c r="B5" s="596"/>
      <c r="C5" s="464">
        <v>97910</v>
      </c>
      <c r="E5" s="152" t="s">
        <v>387</v>
      </c>
      <c r="F5" s="110">
        <v>747.8</v>
      </c>
      <c r="H5" s="152" t="s">
        <v>433</v>
      </c>
      <c r="I5" s="110">
        <f>26619.7768543133*1000000</f>
        <v>26619776854.313297</v>
      </c>
      <c r="J5" s="46" t="s">
        <v>347</v>
      </c>
      <c r="L5" s="189"/>
      <c r="M5" s="46">
        <v>2018</v>
      </c>
      <c r="N5" s="160" t="s">
        <v>356</v>
      </c>
      <c r="O5" s="110">
        <v>5806015</v>
      </c>
      <c r="P5" s="72"/>
      <c r="Q5" s="160" t="s">
        <v>357</v>
      </c>
      <c r="R5" s="463">
        <v>42934.1</v>
      </c>
      <c r="S5" s="160" t="s">
        <v>358</v>
      </c>
      <c r="T5" s="110">
        <f>2231073.40951218*1000000</f>
        <v>2231073409512.1797</v>
      </c>
      <c r="U5" s="73"/>
      <c r="V5" s="73"/>
      <c r="W5" s="73"/>
      <c r="X5" s="73"/>
      <c r="Y5" s="73"/>
      <c r="Z5" s="73"/>
      <c r="AA5" s="73"/>
      <c r="AB5" s="73"/>
      <c r="AC5" s="73"/>
      <c r="AD5" s="73"/>
      <c r="AE5" s="73"/>
    </row>
    <row r="6" spans="1:34" x14ac:dyDescent="0.25">
      <c r="H6" s="160" t="s">
        <v>360</v>
      </c>
      <c r="I6" s="69">
        <f>I5/C5</f>
        <v>271880.06183549482</v>
      </c>
      <c r="J6" s="46" t="s">
        <v>347</v>
      </c>
      <c r="L6" s="189"/>
      <c r="N6" s="74"/>
      <c r="O6" s="188"/>
      <c r="P6" s="188"/>
      <c r="S6" s="160" t="s">
        <v>360</v>
      </c>
      <c r="T6" s="114">
        <f>T5/O5</f>
        <v>384269.31544478954</v>
      </c>
      <c r="U6" s="73"/>
      <c r="V6" s="73"/>
      <c r="W6" s="73"/>
      <c r="X6" s="73"/>
      <c r="Y6" s="73"/>
      <c r="Z6" s="73"/>
      <c r="AA6" s="73"/>
      <c r="AB6" s="73"/>
      <c r="AC6" s="73"/>
      <c r="AD6" s="73"/>
      <c r="AE6" s="73"/>
    </row>
    <row r="7" spans="1:34" ht="14.4" thickBot="1" x14ac:dyDescent="0.3">
      <c r="C7" s="75"/>
      <c r="L7" s="189"/>
      <c r="T7" s="73"/>
      <c r="U7" s="73"/>
      <c r="V7" s="73"/>
      <c r="W7" s="73"/>
      <c r="X7" s="73"/>
      <c r="Y7" s="73"/>
      <c r="Z7" s="73"/>
      <c r="AA7" s="73"/>
      <c r="AB7" s="73"/>
      <c r="AC7" s="73"/>
      <c r="AD7" s="73"/>
      <c r="AE7" s="73"/>
    </row>
    <row r="8" spans="1:34" ht="33.75" customHeight="1" thickBot="1" x14ac:dyDescent="0.3">
      <c r="B8" s="159" t="s">
        <v>457</v>
      </c>
      <c r="C8" s="100">
        <v>1990</v>
      </c>
      <c r="D8" s="100">
        <v>2018</v>
      </c>
      <c r="G8" s="100">
        <v>2018</v>
      </c>
      <c r="H8" s="100">
        <v>2018</v>
      </c>
      <c r="I8" s="100">
        <v>2018</v>
      </c>
      <c r="L8" s="189"/>
      <c r="M8" s="439" t="s">
        <v>359</v>
      </c>
      <c r="N8" s="378">
        <v>1990</v>
      </c>
      <c r="O8" s="377">
        <v>2018</v>
      </c>
      <c r="P8" s="375" t="s">
        <v>390</v>
      </c>
      <c r="R8" s="100">
        <v>2018</v>
      </c>
      <c r="S8" s="100">
        <v>2018</v>
      </c>
      <c r="T8" s="100">
        <v>2018</v>
      </c>
      <c r="U8" s="73"/>
      <c r="V8" s="73"/>
      <c r="W8" s="73"/>
      <c r="X8" s="73"/>
      <c r="Y8" s="73"/>
      <c r="Z8" s="73"/>
      <c r="AA8" s="73"/>
      <c r="AB8" s="73"/>
      <c r="AC8" s="73"/>
      <c r="AD8" s="73"/>
      <c r="AE8" s="73"/>
    </row>
    <row r="9" spans="1:34" ht="44.25" customHeight="1" x14ac:dyDescent="0.35">
      <c r="B9" s="66" t="s">
        <v>69</v>
      </c>
      <c r="C9" s="185">
        <f>D9+(D9*P9)</f>
        <v>104760.7594997644</v>
      </c>
      <c r="D9" s="67">
        <f>'Planteavl,2018'!AE24</f>
        <v>79810.195549002659</v>
      </c>
      <c r="G9" s="181" t="s">
        <v>345</v>
      </c>
      <c r="H9" s="153" t="s">
        <v>346</v>
      </c>
      <c r="I9" s="181" t="s">
        <v>361</v>
      </c>
      <c r="L9" s="189"/>
      <c r="M9" s="344" t="s">
        <v>380</v>
      </c>
      <c r="N9" s="373">
        <v>6294.3067454164102</v>
      </c>
      <c r="O9" s="374">
        <v>4326.5568621223865</v>
      </c>
      <c r="P9" s="376">
        <f>(N9-O9)/N9</f>
        <v>0.31262376666452785</v>
      </c>
      <c r="R9" s="181" t="s">
        <v>345</v>
      </c>
      <c r="S9" s="181" t="s">
        <v>346</v>
      </c>
      <c r="T9" s="181" t="s">
        <v>361</v>
      </c>
      <c r="U9" s="73"/>
      <c r="V9" s="73"/>
      <c r="W9" s="73"/>
      <c r="X9" s="73"/>
      <c r="Y9" s="73"/>
      <c r="Z9" s="73"/>
      <c r="AA9" s="73"/>
      <c r="AB9" s="73"/>
      <c r="AC9" s="73"/>
      <c r="AD9" s="73"/>
      <c r="AE9" s="73"/>
      <c r="AG9" s="440" t="s">
        <v>423</v>
      </c>
      <c r="AH9" s="440"/>
    </row>
    <row r="10" spans="1:34" x14ac:dyDescent="0.25">
      <c r="B10" s="68" t="s">
        <v>70</v>
      </c>
      <c r="C10" s="69">
        <f>D10+(D10*P10)</f>
        <v>107391.73062230901</v>
      </c>
      <c r="D10" s="70">
        <f>'Dyrehold,2018'!AA22</f>
        <v>105050.75526334019</v>
      </c>
      <c r="G10" s="477">
        <f>D16/C5</f>
        <v>7.429379685737092</v>
      </c>
      <c r="H10" s="477">
        <f>D16/F5</f>
        <v>972.73410675383627</v>
      </c>
      <c r="I10" s="477">
        <f>(G10*1000)/(I6/1000)</f>
        <v>27.325945255347012</v>
      </c>
      <c r="L10" s="189"/>
      <c r="M10" s="344" t="s">
        <v>70</v>
      </c>
      <c r="N10" s="371">
        <v>6904.1331362134315</v>
      </c>
      <c r="O10" s="371">
        <v>6750.2798344794264</v>
      </c>
      <c r="P10" s="376">
        <f t="shared" ref="P10:P16" si="0">(N10-O10)/N10</f>
        <v>2.2284231589772881E-2</v>
      </c>
      <c r="R10" s="477">
        <f>O16*1000/O5</f>
        <v>9.6322303252881003</v>
      </c>
      <c r="S10" s="477">
        <f>(O16*1000)/R5</f>
        <v>1302.5747308567686</v>
      </c>
      <c r="T10" s="477">
        <f>(R10*1000)/(T6/1000)</f>
        <v>25.066353044970167</v>
      </c>
      <c r="U10" s="73"/>
      <c r="V10" s="73"/>
      <c r="W10" s="73"/>
      <c r="X10" s="73"/>
      <c r="Y10" s="73"/>
      <c r="Z10" s="73"/>
      <c r="AA10" s="73"/>
      <c r="AB10" s="73"/>
      <c r="AC10" s="73"/>
      <c r="AD10" s="73"/>
      <c r="AE10" s="73"/>
      <c r="AG10" s="440">
        <f>$H$16</f>
        <v>378820.63013908645</v>
      </c>
      <c r="AH10" s="440">
        <f>$H$16</f>
        <v>378820.63013908645</v>
      </c>
    </row>
    <row r="11" spans="1:34" x14ac:dyDescent="0.25">
      <c r="B11" s="68" t="s">
        <v>237</v>
      </c>
      <c r="C11" s="69">
        <f>D11+(D11*P11)</f>
        <v>14412.697225320426</v>
      </c>
      <c r="D11" s="70">
        <f>'Industrielle processer 2018'!N42</f>
        <v>13272.394849247927</v>
      </c>
      <c r="L11" s="189"/>
      <c r="M11" s="68" t="s">
        <v>237</v>
      </c>
      <c r="N11" s="69">
        <v>2343.8218034440442</v>
      </c>
      <c r="O11" s="371">
        <v>2142.4515457087405</v>
      </c>
      <c r="P11" s="376">
        <f t="shared" si="0"/>
        <v>8.5915344519539638E-2</v>
      </c>
      <c r="T11" s="73"/>
      <c r="U11" s="73"/>
      <c r="V11" s="73"/>
      <c r="W11" s="73"/>
      <c r="X11" s="73"/>
      <c r="Y11" s="73"/>
      <c r="Z11" s="73"/>
      <c r="AA11" s="73"/>
      <c r="AB11" s="73"/>
      <c r="AC11" s="73"/>
      <c r="AD11" s="73"/>
      <c r="AE11" s="73"/>
      <c r="AG11" s="440"/>
      <c r="AH11" s="440"/>
    </row>
    <row r="12" spans="1:34" x14ac:dyDescent="0.25">
      <c r="B12" s="68" t="s">
        <v>331</v>
      </c>
      <c r="C12" s="379">
        <f>1000*('Energiregnskab, 1990'!F82+'Energiregnskab, 1990'!G82+'Energiregnskab, 1990'!H82)</f>
        <v>229090.91999999998</v>
      </c>
      <c r="D12" s="70">
        <f>('Energiregnskab, 2018'!F82+'Energiregnskab, 2018'!G82+'Energiregnskab, 2018'!H82)*1000</f>
        <v>264928.10509999999</v>
      </c>
      <c r="L12" s="189"/>
      <c r="M12" s="68" t="s">
        <v>331</v>
      </c>
      <c r="N12" s="69">
        <v>10954.560924084955</v>
      </c>
      <c r="O12" s="371">
        <v>13714.434587240145</v>
      </c>
      <c r="P12" s="376">
        <f t="shared" si="0"/>
        <v>-0.25193831886837803</v>
      </c>
      <c r="T12" s="73"/>
      <c r="U12" s="73"/>
      <c r="V12" s="73"/>
      <c r="W12" s="73"/>
      <c r="X12" s="73"/>
      <c r="Y12" s="73"/>
      <c r="Z12" s="73"/>
      <c r="AA12" s="73"/>
      <c r="AB12" s="73"/>
      <c r="AC12" s="73"/>
      <c r="AD12" s="73"/>
      <c r="AE12" s="73"/>
      <c r="AG12" s="440" t="s">
        <v>422</v>
      </c>
      <c r="AH12" s="440"/>
    </row>
    <row r="13" spans="1:34" x14ac:dyDescent="0.25">
      <c r="B13" s="68" t="s">
        <v>348</v>
      </c>
      <c r="C13" s="379">
        <f>1000*('Energiregnskab, 1990'!A82+'Energiregnskab, 1990'!B82+'Energiregnskab, 1990'!C82+'Energiregnskab, 1990'!D82+'Energiregnskab, 1990'!E82+'Energiregnskab, 1990'!I82+'Energiregnskab, 1990'!J82+'Energiregnskab, 1990'!K82+'Energiregnskab, 1990'!L82+'Energiregnskab, 1990'!M82+'Energiregnskab, 1990'!N82+'Energiregnskab, 1990'!O82+'Energiregnskab, 1990'!P82+'Energiregnskab, 1990'!Q82+'Energiregnskab, 1990'!R82+'Energiregnskab, 1990'!S82+'Energiregnskab, 1990'!T82+'Energiregnskab, 1990'!U82+'Energiregnskab, 1990'!V82+'Energiregnskab, 1990'!W82)</f>
        <v>610342.88572360831</v>
      </c>
      <c r="D13" s="70">
        <f>('Energiregnskab, 2018'!A82+'Energiregnskab, 2018'!B82+'Energiregnskab, 2018'!D82+'Energiregnskab, 2018'!E82+'Energiregnskab, 2018'!I82+'Energiregnskab, 2018'!W82)*1000</f>
        <v>70730.128374609223</v>
      </c>
      <c r="L13" s="189"/>
      <c r="M13" s="68" t="s">
        <v>348</v>
      </c>
      <c r="N13" s="69">
        <v>42207</v>
      </c>
      <c r="O13" s="371">
        <v>21242</v>
      </c>
      <c r="P13" s="376">
        <f t="shared" si="0"/>
        <v>0.49671855379439428</v>
      </c>
      <c r="T13" s="73"/>
      <c r="U13" s="73"/>
      <c r="V13" s="73"/>
      <c r="W13" s="73"/>
      <c r="X13" s="73"/>
      <c r="Y13" s="73"/>
      <c r="Z13" s="73"/>
      <c r="AA13" s="73"/>
      <c r="AB13" s="73"/>
      <c r="AC13" s="73"/>
      <c r="AD13" s="73"/>
      <c r="AE13" s="73"/>
      <c r="AG13" s="440">
        <f>N16*30%</f>
        <v>23081.999951832444</v>
      </c>
      <c r="AH13" s="440">
        <f>AG13</f>
        <v>23081.999951832444</v>
      </c>
    </row>
    <row r="14" spans="1:34" x14ac:dyDescent="0.25">
      <c r="B14" s="68" t="s">
        <v>381</v>
      </c>
      <c r="C14" s="69">
        <f>D14+(D14*P14)</f>
        <v>170431.98637333367</v>
      </c>
      <c r="D14" s="70">
        <f>'Arealanvendelse, 2018'!P40</f>
        <v>174151.80274126722</v>
      </c>
      <c r="G14" s="192" t="s">
        <v>362</v>
      </c>
      <c r="L14" s="189"/>
      <c r="M14" s="68" t="s">
        <v>381</v>
      </c>
      <c r="N14" s="69">
        <v>6456.8333328241424</v>
      </c>
      <c r="O14" s="371">
        <v>6594.7488406649736</v>
      </c>
      <c r="P14" s="376">
        <f t="shared" si="0"/>
        <v>-2.1359620224316457E-2</v>
      </c>
      <c r="T14" s="73"/>
      <c r="U14" s="73"/>
      <c r="V14" s="73"/>
      <c r="W14" s="73"/>
      <c r="X14" s="73"/>
      <c r="Y14" s="73"/>
      <c r="Z14" s="73"/>
      <c r="AA14" s="73"/>
      <c r="AB14" s="73"/>
      <c r="AC14" s="73"/>
      <c r="AD14" s="73"/>
      <c r="AE14" s="73"/>
      <c r="AG14" s="440"/>
      <c r="AH14" s="440"/>
    </row>
    <row r="15" spans="1:34" ht="14.4" thickBot="1" x14ac:dyDescent="0.3">
      <c r="B15" s="154" t="s">
        <v>329</v>
      </c>
      <c r="C15" s="186">
        <f>D15+(D15*P15)</f>
        <v>26304.454352618854</v>
      </c>
      <c r="D15" s="78">
        <f>'Affald og spildevand, 2018'!K26</f>
        <v>19467.18315305141</v>
      </c>
      <c r="L15" s="189"/>
      <c r="M15" s="68" t="s">
        <v>286</v>
      </c>
      <c r="N15" s="69">
        <v>1779.3438974585022</v>
      </c>
      <c r="O15" s="371">
        <v>1154.4020818619222</v>
      </c>
      <c r="P15" s="376">
        <f t="shared" si="0"/>
        <v>0.3512203663885356</v>
      </c>
      <c r="T15" s="73"/>
      <c r="U15" s="73"/>
      <c r="V15" s="73"/>
      <c r="W15" s="73"/>
      <c r="X15" s="73"/>
      <c r="Y15" s="73"/>
      <c r="Z15" s="73"/>
      <c r="AA15" s="73"/>
      <c r="AB15" s="73"/>
      <c r="AC15" s="73"/>
      <c r="AD15" s="73"/>
      <c r="AE15" s="73"/>
    </row>
    <row r="16" spans="1:34" ht="14.4" thickBot="1" x14ac:dyDescent="0.3">
      <c r="B16" s="155" t="s">
        <v>61</v>
      </c>
      <c r="C16" s="187">
        <f>SUM(C9:C15)</f>
        <v>1262735.4337969548</v>
      </c>
      <c r="D16" s="156">
        <f>SUM(D9:D15)</f>
        <v>727410.56503051869</v>
      </c>
      <c r="G16" s="97" t="s">
        <v>421</v>
      </c>
      <c r="H16" s="69">
        <f>C16*30%</f>
        <v>378820.63013908645</v>
      </c>
      <c r="I16" s="97" t="s">
        <v>274</v>
      </c>
      <c r="L16" s="189"/>
      <c r="M16" s="345" t="s">
        <v>61</v>
      </c>
      <c r="N16" s="186">
        <f>SUM(N9:N15)</f>
        <v>76939.999839441487</v>
      </c>
      <c r="O16" s="372">
        <f>SUM(O9:O15)</f>
        <v>55924.87375207759</v>
      </c>
      <c r="P16" s="376">
        <f t="shared" si="0"/>
        <v>0.27313654966491158</v>
      </c>
      <c r="T16" s="73"/>
      <c r="U16" s="73"/>
      <c r="V16" s="73"/>
      <c r="W16" s="73"/>
      <c r="X16" s="73"/>
      <c r="Y16" s="73"/>
      <c r="Z16" s="73"/>
      <c r="AA16" s="73"/>
      <c r="AB16" s="73"/>
      <c r="AC16" s="73"/>
      <c r="AD16" s="73"/>
      <c r="AE16" s="73"/>
    </row>
    <row r="17" spans="2:655" ht="14.4" x14ac:dyDescent="0.3">
      <c r="B17" s="71"/>
      <c r="C17" s="72"/>
      <c r="D17" s="72"/>
      <c r="G17" s="182" t="s">
        <v>389</v>
      </c>
      <c r="H17" s="69">
        <f>D16-H16</f>
        <v>348589.93489143223</v>
      </c>
      <c r="I17" s="97" t="s">
        <v>274</v>
      </c>
      <c r="L17" s="189"/>
      <c r="T17" s="73"/>
      <c r="U17" s="73"/>
      <c r="V17" s="73"/>
      <c r="W17" s="73"/>
      <c r="X17" s="73"/>
      <c r="Y17" s="73"/>
      <c r="Z17" s="73"/>
      <c r="AA17" s="73"/>
      <c r="AB17" s="73"/>
      <c r="AC17" s="73"/>
      <c r="AD17" s="73"/>
      <c r="AE17" s="73"/>
    </row>
    <row r="18" spans="2:655" ht="14.4" x14ac:dyDescent="0.3">
      <c r="B18" s="71"/>
      <c r="C18" s="72"/>
      <c r="D18" s="72"/>
      <c r="G18" s="97" t="s">
        <v>363</v>
      </c>
      <c r="H18" s="69">
        <f>H17/C5</f>
        <v>3.5603098242409583</v>
      </c>
      <c r="I18" s="97" t="s">
        <v>274</v>
      </c>
      <c r="L18" s="189"/>
      <c r="T18" s="73"/>
      <c r="U18" s="73"/>
      <c r="V18" s="73"/>
      <c r="W18" s="73"/>
      <c r="X18" s="73"/>
      <c r="Y18" s="73"/>
      <c r="Z18" s="73"/>
      <c r="AA18" s="73"/>
      <c r="AB18" s="73"/>
      <c r="AC18" s="73"/>
      <c r="AD18" s="73"/>
      <c r="AE18" s="73"/>
    </row>
    <row r="19" spans="2:655" x14ac:dyDescent="0.25">
      <c r="C19" s="380"/>
      <c r="D19" s="46" t="s">
        <v>391</v>
      </c>
      <c r="L19" s="189"/>
      <c r="T19" s="73"/>
      <c r="U19" s="73"/>
      <c r="V19" s="73"/>
      <c r="W19" s="73"/>
      <c r="X19" s="73"/>
      <c r="Y19" s="73"/>
      <c r="Z19" s="73"/>
      <c r="AA19" s="73"/>
      <c r="AB19" s="73"/>
      <c r="AC19" s="73"/>
      <c r="AD19" s="73"/>
      <c r="AE19" s="73"/>
    </row>
    <row r="20" spans="2:655" x14ac:dyDescent="0.25">
      <c r="C20" s="73"/>
      <c r="L20" s="189"/>
      <c r="T20" s="73"/>
      <c r="U20" s="73"/>
      <c r="V20" s="73"/>
      <c r="W20" s="73"/>
      <c r="X20" s="73"/>
      <c r="Y20" s="73"/>
      <c r="Z20" s="73"/>
      <c r="AA20" s="73"/>
      <c r="AB20" s="73"/>
      <c r="AC20" s="73"/>
      <c r="AD20" s="73"/>
      <c r="AE20" s="73"/>
    </row>
    <row r="21" spans="2:655" s="73" customFormat="1" x14ac:dyDescent="0.25">
      <c r="L21" s="462"/>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5">
      <c r="L22" s="462"/>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5">
      <c r="L23" s="462"/>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5">
      <c r="L24" s="462"/>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5">
      <c r="B25" s="190"/>
      <c r="C25" s="72"/>
      <c r="D25" s="72"/>
      <c r="L25" s="189"/>
      <c r="T25" s="73"/>
      <c r="U25" s="73"/>
      <c r="V25" s="73"/>
      <c r="W25" s="73"/>
      <c r="X25" s="73"/>
      <c r="Y25" s="73"/>
      <c r="Z25" s="73"/>
      <c r="AA25" s="73"/>
      <c r="AB25" s="73"/>
      <c r="AC25" s="73"/>
      <c r="AD25" s="73"/>
      <c r="AE25" s="73"/>
    </row>
    <row r="26" spans="2:655" ht="14.4" x14ac:dyDescent="0.3">
      <c r="B26" s="71"/>
      <c r="C26" s="72"/>
      <c r="D26" s="72"/>
      <c r="L26" s="189"/>
      <c r="T26" s="73"/>
      <c r="U26" s="73"/>
      <c r="V26" s="73"/>
      <c r="W26" s="73"/>
      <c r="X26" s="73"/>
      <c r="Y26" s="73"/>
      <c r="Z26" s="73"/>
      <c r="AA26" s="73"/>
      <c r="AB26" s="73"/>
      <c r="AC26" s="73"/>
      <c r="AD26" s="73"/>
      <c r="AE26" s="73"/>
    </row>
    <row r="27" spans="2:655" ht="14.4" x14ac:dyDescent="0.3">
      <c r="B27" s="71"/>
      <c r="C27" s="72"/>
      <c r="D27" s="72"/>
      <c r="L27" s="189"/>
      <c r="T27" s="73"/>
      <c r="U27" s="73"/>
      <c r="V27" s="73"/>
      <c r="W27" s="73"/>
      <c r="X27" s="73"/>
      <c r="Y27" s="73"/>
      <c r="Z27" s="73"/>
      <c r="AA27" s="73"/>
      <c r="AB27" s="73"/>
      <c r="AC27" s="73"/>
      <c r="AD27" s="73"/>
      <c r="AE27" s="73"/>
    </row>
    <row r="28" spans="2:655" ht="14.4" x14ac:dyDescent="0.3">
      <c r="B28" s="71"/>
      <c r="C28" s="72"/>
      <c r="D28" s="72"/>
      <c r="L28" s="189"/>
      <c r="T28" s="73"/>
      <c r="U28" s="73"/>
      <c r="V28" s="73"/>
      <c r="W28" s="73"/>
      <c r="X28" s="73"/>
      <c r="Y28" s="73"/>
      <c r="Z28" s="73"/>
      <c r="AA28" s="73"/>
      <c r="AB28" s="73"/>
      <c r="AC28" s="73"/>
      <c r="AD28" s="73"/>
      <c r="AE28" s="73"/>
    </row>
    <row r="29" spans="2:655" ht="14.4" x14ac:dyDescent="0.3">
      <c r="B29" s="71"/>
      <c r="C29" s="72"/>
      <c r="D29" s="72"/>
      <c r="L29" s="189"/>
      <c r="T29" s="73"/>
      <c r="U29" s="73"/>
      <c r="V29" s="73"/>
      <c r="W29" s="73"/>
      <c r="X29" s="73"/>
      <c r="Y29" s="73"/>
      <c r="Z29" s="73"/>
      <c r="AA29" s="73"/>
      <c r="AB29" s="73"/>
      <c r="AC29" s="73"/>
      <c r="AD29" s="73"/>
      <c r="AE29" s="73"/>
    </row>
    <row r="30" spans="2:655" ht="14.4" x14ac:dyDescent="0.3">
      <c r="B30" s="71"/>
      <c r="C30" s="72"/>
      <c r="D30" s="72"/>
      <c r="L30" s="189"/>
      <c r="T30" s="73"/>
      <c r="U30" s="73"/>
      <c r="V30" s="73"/>
      <c r="W30" s="73"/>
      <c r="X30" s="73"/>
      <c r="Y30" s="73"/>
      <c r="Z30" s="73"/>
      <c r="AA30" s="73"/>
      <c r="AB30" s="73"/>
      <c r="AC30" s="73"/>
      <c r="AD30" s="73"/>
      <c r="AE30" s="73"/>
    </row>
    <row r="31" spans="2:655" ht="14.4" x14ac:dyDescent="0.3">
      <c r="B31" s="71"/>
      <c r="C31" s="72"/>
      <c r="D31" s="72"/>
      <c r="L31" s="189"/>
      <c r="T31" s="73"/>
      <c r="U31" s="73"/>
      <c r="V31" s="73"/>
      <c r="W31" s="73"/>
      <c r="X31" s="73"/>
      <c r="Y31" s="73"/>
      <c r="Z31" s="73"/>
      <c r="AA31" s="73"/>
      <c r="AB31" s="73"/>
      <c r="AC31" s="73"/>
      <c r="AD31" s="73"/>
      <c r="AE31" s="73"/>
    </row>
    <row r="32" spans="2:655" ht="14.4" x14ac:dyDescent="0.3">
      <c r="B32" s="71"/>
      <c r="C32" s="72"/>
      <c r="D32" s="72"/>
      <c r="L32" s="189"/>
      <c r="T32" s="73"/>
      <c r="U32" s="73"/>
      <c r="V32" s="73"/>
      <c r="W32" s="73"/>
      <c r="X32" s="73"/>
      <c r="Y32" s="73"/>
      <c r="Z32" s="73"/>
      <c r="AA32" s="73"/>
      <c r="AB32" s="73"/>
      <c r="AC32" s="73"/>
      <c r="AD32" s="73"/>
      <c r="AE32" s="73"/>
    </row>
    <row r="33" spans="2:31" ht="14.4" x14ac:dyDescent="0.3">
      <c r="B33" s="71"/>
      <c r="C33" s="72"/>
      <c r="D33" s="72"/>
      <c r="L33" s="189"/>
      <c r="T33" s="73"/>
      <c r="U33" s="73"/>
      <c r="V33" s="73"/>
      <c r="W33" s="73"/>
      <c r="X33" s="73"/>
      <c r="Y33" s="73"/>
      <c r="Z33" s="73"/>
      <c r="AA33" s="73"/>
      <c r="AB33" s="73"/>
      <c r="AC33" s="73"/>
      <c r="AD33" s="73"/>
      <c r="AE33" s="73"/>
    </row>
    <row r="34" spans="2:31" ht="14.4" x14ac:dyDescent="0.3">
      <c r="B34" s="71"/>
      <c r="C34" s="72"/>
      <c r="D34" s="72"/>
      <c r="L34" s="189"/>
      <c r="T34" s="73"/>
      <c r="U34" s="73"/>
      <c r="V34" s="73"/>
      <c r="W34" s="73"/>
      <c r="X34" s="73"/>
      <c r="Y34" s="73"/>
      <c r="Z34" s="73"/>
      <c r="AA34" s="73"/>
      <c r="AB34" s="73"/>
      <c r="AC34" s="73"/>
      <c r="AD34" s="73"/>
      <c r="AE34" s="73"/>
    </row>
    <row r="35" spans="2:31" ht="14.4" x14ac:dyDescent="0.3">
      <c r="B35" s="71"/>
      <c r="C35" s="72"/>
      <c r="D35" s="72"/>
      <c r="L35" s="189"/>
      <c r="T35" s="73"/>
      <c r="U35" s="73"/>
      <c r="V35" s="73"/>
      <c r="W35" s="73"/>
      <c r="X35" s="73"/>
      <c r="Y35" s="73"/>
      <c r="Z35" s="73"/>
      <c r="AA35" s="73"/>
      <c r="AB35" s="73"/>
      <c r="AC35" s="73"/>
      <c r="AD35" s="73"/>
      <c r="AE35" s="73"/>
    </row>
    <row r="36" spans="2:31" ht="14.4" x14ac:dyDescent="0.3">
      <c r="B36" s="71"/>
      <c r="C36" s="72"/>
      <c r="D36" s="72"/>
      <c r="L36" s="189"/>
      <c r="T36" s="73"/>
      <c r="U36" s="73"/>
      <c r="V36" s="73"/>
      <c r="W36" s="73"/>
      <c r="X36" s="73"/>
      <c r="Y36" s="73"/>
      <c r="Z36" s="73"/>
      <c r="AA36" s="73"/>
      <c r="AB36" s="73"/>
      <c r="AC36" s="73"/>
      <c r="AD36" s="73"/>
      <c r="AE36" s="73"/>
    </row>
    <row r="37" spans="2:31" ht="14.4" x14ac:dyDescent="0.3">
      <c r="B37" s="71"/>
      <c r="C37" s="72"/>
      <c r="D37" s="72"/>
      <c r="L37" s="189"/>
      <c r="T37" s="73"/>
      <c r="U37" s="73"/>
      <c r="V37" s="73"/>
      <c r="W37" s="73"/>
      <c r="X37" s="73"/>
      <c r="Y37" s="73"/>
      <c r="Z37" s="73"/>
      <c r="AA37" s="73"/>
      <c r="AB37" s="73"/>
      <c r="AC37" s="73"/>
      <c r="AD37" s="73"/>
      <c r="AE37" s="73"/>
    </row>
    <row r="38" spans="2:31" ht="14.4" x14ac:dyDescent="0.3">
      <c r="B38" s="71"/>
      <c r="C38" s="72"/>
      <c r="D38" s="72"/>
      <c r="L38" s="189"/>
      <c r="T38" s="73"/>
      <c r="U38" s="73"/>
      <c r="V38" s="73"/>
      <c r="W38" s="73"/>
      <c r="X38" s="73"/>
      <c r="Y38" s="73"/>
      <c r="Z38" s="73"/>
      <c r="AA38" s="73"/>
      <c r="AB38" s="73"/>
      <c r="AC38" s="73"/>
      <c r="AD38" s="73"/>
      <c r="AE38" s="73"/>
    </row>
    <row r="39" spans="2:31" ht="14.4" x14ac:dyDescent="0.3">
      <c r="B39" s="71"/>
      <c r="C39" s="72"/>
      <c r="D39" s="72"/>
      <c r="L39" s="189"/>
      <c r="T39" s="73"/>
      <c r="U39" s="73"/>
      <c r="V39" s="73"/>
      <c r="W39" s="73"/>
      <c r="X39" s="73"/>
      <c r="Y39" s="73"/>
      <c r="Z39" s="73"/>
      <c r="AA39" s="73"/>
      <c r="AB39" s="73"/>
      <c r="AC39" s="73"/>
      <c r="AD39" s="73"/>
      <c r="AE39" s="73"/>
    </row>
    <row r="40" spans="2:31" x14ac:dyDescent="0.25">
      <c r="B40" s="73"/>
      <c r="C40" s="74"/>
      <c r="D40" s="74"/>
      <c r="L40" s="189"/>
      <c r="T40" s="73"/>
      <c r="U40" s="73"/>
      <c r="V40" s="73"/>
      <c r="W40" s="73"/>
      <c r="X40" s="73"/>
      <c r="Y40" s="73"/>
      <c r="Z40" s="73"/>
      <c r="AA40" s="73"/>
      <c r="AB40" s="73"/>
      <c r="AC40" s="73"/>
      <c r="AD40" s="73"/>
      <c r="AE40" s="73"/>
    </row>
    <row r="41" spans="2:31" x14ac:dyDescent="0.25">
      <c r="L41" s="189"/>
      <c r="T41" s="73"/>
      <c r="U41" s="73"/>
      <c r="V41" s="73"/>
      <c r="W41" s="73"/>
      <c r="X41" s="73"/>
      <c r="Y41" s="73"/>
      <c r="Z41" s="73"/>
      <c r="AA41" s="73"/>
      <c r="AB41" s="73"/>
      <c r="AC41" s="73"/>
      <c r="AD41" s="73"/>
      <c r="AE41" s="73"/>
    </row>
    <row r="42" spans="2:31" x14ac:dyDescent="0.25">
      <c r="L42" s="189"/>
      <c r="T42" s="73"/>
      <c r="U42" s="73"/>
      <c r="V42" s="73"/>
      <c r="W42" s="73"/>
      <c r="X42" s="73"/>
      <c r="Y42" s="73"/>
      <c r="Z42" s="73"/>
      <c r="AA42" s="73"/>
      <c r="AB42" s="73"/>
      <c r="AC42" s="73"/>
      <c r="AD42" s="73"/>
      <c r="AE42" s="73"/>
    </row>
    <row r="43" spans="2:31" x14ac:dyDescent="0.25">
      <c r="L43" s="189"/>
      <c r="T43" s="73"/>
      <c r="U43" s="73"/>
      <c r="V43" s="73"/>
      <c r="W43" s="73"/>
      <c r="X43" s="73"/>
      <c r="Y43" s="73"/>
      <c r="Z43" s="73"/>
      <c r="AA43" s="73"/>
      <c r="AB43" s="73"/>
      <c r="AC43" s="73"/>
      <c r="AD43" s="73"/>
      <c r="AE43" s="73"/>
    </row>
    <row r="44" spans="2:31" x14ac:dyDescent="0.25">
      <c r="L44" s="189"/>
      <c r="T44" s="73"/>
      <c r="U44" s="73"/>
      <c r="V44" s="73"/>
      <c r="W44" s="73"/>
      <c r="X44" s="73"/>
      <c r="Y44" s="73"/>
      <c r="Z44" s="73"/>
      <c r="AA44" s="73"/>
      <c r="AB44" s="73"/>
      <c r="AC44" s="73"/>
      <c r="AD44" s="73"/>
      <c r="AE44" s="73"/>
    </row>
    <row r="45" spans="2:31" x14ac:dyDescent="0.25">
      <c r="L45" s="189"/>
      <c r="T45" s="73"/>
      <c r="U45" s="73"/>
      <c r="V45" s="73"/>
      <c r="W45" s="73"/>
      <c r="X45" s="73"/>
      <c r="Y45" s="73"/>
      <c r="Z45" s="73"/>
      <c r="AA45" s="73"/>
      <c r="AB45" s="73"/>
      <c r="AC45" s="73"/>
      <c r="AD45" s="73"/>
      <c r="AE45" s="73"/>
    </row>
    <row r="46" spans="2:31" x14ac:dyDescent="0.25">
      <c r="L46" s="189"/>
      <c r="S46" s="81"/>
      <c r="T46" s="183"/>
      <c r="U46" s="73"/>
      <c r="V46" s="73"/>
      <c r="W46" s="73"/>
      <c r="X46" s="73"/>
      <c r="Y46" s="73"/>
      <c r="Z46" s="73"/>
      <c r="AA46" s="73"/>
      <c r="AB46" s="73"/>
      <c r="AC46" s="73"/>
      <c r="AD46" s="73"/>
      <c r="AE46" s="73"/>
    </row>
    <row r="47" spans="2:31" x14ac:dyDescent="0.25">
      <c r="L47" s="189"/>
      <c r="M47" s="73"/>
      <c r="N47" s="73"/>
      <c r="O47" s="73"/>
      <c r="P47" s="73"/>
      <c r="S47" s="81"/>
      <c r="T47" s="184"/>
      <c r="U47" s="73"/>
      <c r="V47" s="73"/>
      <c r="W47" s="73"/>
      <c r="X47" s="73"/>
      <c r="Y47" s="73"/>
      <c r="Z47" s="73"/>
      <c r="AA47" s="73"/>
      <c r="AB47" s="73"/>
      <c r="AC47" s="73"/>
      <c r="AD47" s="73"/>
      <c r="AE47" s="73"/>
    </row>
    <row r="48" spans="2:31" x14ac:dyDescent="0.25">
      <c r="L48" s="189"/>
      <c r="M48" s="73"/>
      <c r="N48" s="73"/>
      <c r="O48" s="73"/>
      <c r="P48" s="73"/>
      <c r="S48" s="81"/>
      <c r="T48" s="81"/>
      <c r="U48" s="73"/>
      <c r="V48" s="73"/>
      <c r="W48" s="73"/>
      <c r="X48" s="73"/>
      <c r="Y48" s="73"/>
      <c r="Z48" s="73"/>
      <c r="AA48" s="73"/>
      <c r="AB48" s="73"/>
      <c r="AC48" s="73"/>
      <c r="AD48" s="73"/>
      <c r="AE48" s="73"/>
    </row>
    <row r="49" spans="12:31" x14ac:dyDescent="0.25">
      <c r="L49" s="189"/>
      <c r="M49" s="73"/>
      <c r="N49" s="73"/>
      <c r="O49" s="73"/>
      <c r="P49" s="73"/>
      <c r="T49" s="73"/>
      <c r="U49" s="73"/>
      <c r="V49" s="73"/>
      <c r="W49" s="73"/>
      <c r="X49" s="73"/>
      <c r="Y49" s="73"/>
      <c r="Z49" s="73"/>
      <c r="AA49" s="73"/>
      <c r="AB49" s="73"/>
      <c r="AC49" s="73"/>
      <c r="AD49" s="73"/>
      <c r="AE49" s="73"/>
    </row>
    <row r="50" spans="12:31" x14ac:dyDescent="0.25">
      <c r="L50" s="189"/>
      <c r="M50" s="73"/>
      <c r="N50" s="73"/>
      <c r="O50" s="73"/>
      <c r="P50" s="73"/>
      <c r="T50" s="73"/>
      <c r="U50" s="73"/>
      <c r="V50" s="73"/>
      <c r="W50" s="73"/>
      <c r="X50" s="73"/>
      <c r="Y50" s="73"/>
      <c r="Z50" s="73"/>
      <c r="AA50" s="73"/>
      <c r="AB50" s="73"/>
      <c r="AC50" s="73"/>
      <c r="AD50" s="73"/>
      <c r="AE50" s="73"/>
    </row>
    <row r="51" spans="12:31" x14ac:dyDescent="0.25">
      <c r="L51" s="189"/>
      <c r="M51" s="73"/>
      <c r="N51" s="73"/>
      <c r="O51" s="73"/>
      <c r="P51" s="73"/>
      <c r="T51" s="73"/>
      <c r="U51" s="73"/>
      <c r="V51" s="73"/>
      <c r="W51" s="73"/>
      <c r="X51" s="73"/>
      <c r="Y51" s="73"/>
      <c r="Z51" s="73"/>
      <c r="AA51" s="73"/>
      <c r="AB51" s="73"/>
      <c r="AC51" s="73"/>
      <c r="AD51" s="73"/>
      <c r="AE51" s="73"/>
    </row>
    <row r="52" spans="12:31" x14ac:dyDescent="0.25">
      <c r="L52" s="189"/>
      <c r="N52" s="191"/>
      <c r="T52" s="73"/>
      <c r="U52" s="73"/>
      <c r="V52" s="73"/>
      <c r="W52" s="73"/>
      <c r="X52" s="73"/>
      <c r="Y52" s="73"/>
      <c r="Z52" s="73"/>
      <c r="AA52" s="73"/>
      <c r="AB52" s="73"/>
      <c r="AC52" s="73"/>
      <c r="AD52" s="73"/>
      <c r="AE52" s="73"/>
    </row>
    <row r="53" spans="12:31" x14ac:dyDescent="0.25">
      <c r="L53" s="189"/>
      <c r="N53" s="191"/>
      <c r="T53" s="73"/>
      <c r="U53" s="73"/>
      <c r="V53" s="73"/>
      <c r="W53" s="73"/>
      <c r="X53" s="73"/>
      <c r="Y53" s="73"/>
      <c r="Z53" s="73"/>
      <c r="AA53" s="73"/>
      <c r="AB53" s="73"/>
      <c r="AC53" s="73"/>
      <c r="AD53" s="73"/>
      <c r="AE53" s="73"/>
    </row>
    <row r="54" spans="12:31" x14ac:dyDescent="0.25">
      <c r="L54" s="189"/>
      <c r="N54" s="191"/>
      <c r="T54" s="73"/>
      <c r="U54" s="73"/>
      <c r="V54" s="73"/>
      <c r="W54" s="73"/>
      <c r="X54" s="73"/>
      <c r="Y54" s="73"/>
      <c r="Z54" s="73"/>
      <c r="AA54" s="73"/>
      <c r="AB54" s="73"/>
      <c r="AC54" s="73"/>
      <c r="AD54" s="73"/>
      <c r="AE54" s="73"/>
    </row>
    <row r="55" spans="12:31" x14ac:dyDescent="0.25">
      <c r="L55" s="189"/>
      <c r="T55" s="73"/>
      <c r="U55" s="73"/>
      <c r="V55" s="73"/>
      <c r="W55" s="73"/>
      <c r="X55" s="73"/>
      <c r="Y55" s="73"/>
      <c r="Z55" s="73"/>
      <c r="AA55" s="73"/>
      <c r="AB55" s="73"/>
      <c r="AC55" s="73"/>
      <c r="AD55" s="73"/>
      <c r="AE55" s="73"/>
    </row>
    <row r="56" spans="12:31" x14ac:dyDescent="0.25">
      <c r="L56" s="189"/>
      <c r="T56" s="73"/>
      <c r="U56" s="73"/>
      <c r="V56" s="73"/>
      <c r="W56" s="73"/>
      <c r="X56" s="73"/>
      <c r="Y56" s="73"/>
      <c r="Z56" s="73"/>
      <c r="AA56" s="73"/>
      <c r="AB56" s="73"/>
      <c r="AC56" s="73"/>
      <c r="AD56" s="73"/>
      <c r="AE56" s="73"/>
    </row>
    <row r="57" spans="12:31" x14ac:dyDescent="0.25">
      <c r="L57" s="189"/>
      <c r="T57" s="73"/>
      <c r="U57" s="73"/>
      <c r="V57" s="73"/>
      <c r="W57" s="73"/>
      <c r="X57" s="73"/>
      <c r="Y57" s="73"/>
      <c r="Z57" s="73"/>
      <c r="AA57" s="73"/>
      <c r="AB57" s="73"/>
      <c r="AC57" s="73"/>
      <c r="AD57" s="73"/>
      <c r="AE57" s="73"/>
    </row>
    <row r="58" spans="12:31" x14ac:dyDescent="0.25">
      <c r="L58" s="189"/>
      <c r="T58" s="73"/>
      <c r="U58" s="73"/>
      <c r="V58" s="73"/>
      <c r="W58" s="73"/>
      <c r="X58" s="73"/>
      <c r="Y58" s="73"/>
      <c r="Z58" s="73"/>
      <c r="AA58" s="73"/>
      <c r="AB58" s="73"/>
      <c r="AC58" s="73"/>
      <c r="AD58" s="73"/>
      <c r="AE58" s="73"/>
    </row>
    <row r="59" spans="12:31" x14ac:dyDescent="0.25">
      <c r="L59" s="189"/>
      <c r="T59" s="73"/>
      <c r="U59" s="73"/>
      <c r="V59" s="73"/>
      <c r="W59" s="73"/>
      <c r="X59" s="73"/>
      <c r="Y59" s="73"/>
      <c r="Z59" s="73"/>
      <c r="AA59" s="73"/>
      <c r="AB59" s="73"/>
      <c r="AC59" s="73"/>
      <c r="AD59" s="73"/>
      <c r="AE59" s="73"/>
    </row>
    <row r="60" spans="12:31" x14ac:dyDescent="0.25">
      <c r="L60" s="189"/>
      <c r="T60" s="73"/>
      <c r="U60" s="73"/>
      <c r="V60" s="73"/>
      <c r="W60" s="73"/>
      <c r="X60" s="73"/>
      <c r="Y60" s="73"/>
      <c r="Z60" s="73"/>
      <c r="AA60" s="73"/>
      <c r="AB60" s="73"/>
      <c r="AC60" s="73"/>
      <c r="AD60" s="73"/>
      <c r="AE60" s="73"/>
    </row>
    <row r="61" spans="12:31" x14ac:dyDescent="0.25">
      <c r="L61" s="189"/>
      <c r="T61" s="73"/>
      <c r="U61" s="73"/>
      <c r="V61" s="73"/>
      <c r="W61" s="73"/>
      <c r="X61" s="73"/>
      <c r="Y61" s="73"/>
      <c r="Z61" s="73"/>
      <c r="AA61" s="73"/>
      <c r="AB61" s="73"/>
      <c r="AC61" s="73"/>
      <c r="AD61" s="73"/>
      <c r="AE61" s="73"/>
    </row>
    <row r="62" spans="12:31" x14ac:dyDescent="0.25">
      <c r="L62" s="189"/>
      <c r="T62" s="73"/>
      <c r="U62" s="73"/>
      <c r="V62" s="73"/>
      <c r="W62" s="73"/>
      <c r="X62" s="73"/>
      <c r="Y62" s="73"/>
      <c r="Z62" s="73"/>
      <c r="AA62" s="73"/>
      <c r="AB62" s="73"/>
      <c r="AC62" s="73"/>
      <c r="AD62" s="73"/>
      <c r="AE62" s="73"/>
    </row>
    <row r="63" spans="12:31" x14ac:dyDescent="0.25">
      <c r="L63" s="189"/>
      <c r="T63" s="73"/>
      <c r="U63" s="73"/>
      <c r="V63" s="73"/>
      <c r="W63" s="73"/>
      <c r="X63" s="73"/>
      <c r="Y63" s="73"/>
      <c r="Z63" s="73"/>
      <c r="AA63" s="73"/>
      <c r="AB63" s="73"/>
      <c r="AC63" s="73"/>
      <c r="AD63" s="73"/>
      <c r="AE63" s="73"/>
    </row>
    <row r="64" spans="12:31" x14ac:dyDescent="0.25">
      <c r="L64" s="189"/>
      <c r="T64" s="73"/>
      <c r="U64" s="73"/>
      <c r="V64" s="73"/>
      <c r="W64" s="73"/>
      <c r="X64" s="73"/>
      <c r="Y64" s="73"/>
      <c r="Z64" s="73"/>
      <c r="AA64" s="73"/>
      <c r="AB64" s="73"/>
      <c r="AC64" s="73"/>
      <c r="AD64" s="73"/>
      <c r="AE64" s="73"/>
    </row>
    <row r="65" spans="12:31" x14ac:dyDescent="0.25">
      <c r="L65" s="189"/>
      <c r="T65" s="73"/>
      <c r="U65" s="73"/>
      <c r="V65" s="73"/>
      <c r="W65" s="73"/>
      <c r="X65" s="73"/>
      <c r="Y65" s="73"/>
      <c r="Z65" s="73"/>
      <c r="AA65" s="73"/>
      <c r="AB65" s="73"/>
      <c r="AC65" s="73"/>
      <c r="AD65" s="73"/>
      <c r="AE65" s="73"/>
    </row>
    <row r="66" spans="12:31" x14ac:dyDescent="0.25">
      <c r="L66" s="189"/>
      <c r="T66" s="73"/>
      <c r="U66" s="73"/>
      <c r="V66" s="73"/>
      <c r="W66" s="73"/>
      <c r="X66" s="73"/>
      <c r="Y66" s="73"/>
      <c r="Z66" s="73"/>
      <c r="AA66" s="73"/>
      <c r="AB66" s="73"/>
      <c r="AC66" s="73"/>
      <c r="AD66" s="73"/>
      <c r="AE66" s="73"/>
    </row>
    <row r="67" spans="12:31" x14ac:dyDescent="0.25">
      <c r="L67" s="189"/>
      <c r="T67" s="73"/>
      <c r="U67" s="73"/>
      <c r="V67" s="73"/>
      <c r="W67" s="73"/>
      <c r="X67" s="73"/>
      <c r="Y67" s="73"/>
      <c r="Z67" s="73"/>
      <c r="AA67" s="73"/>
      <c r="AB67" s="73"/>
      <c r="AC67" s="73"/>
      <c r="AD67" s="73"/>
      <c r="AE67" s="73"/>
    </row>
    <row r="68" spans="12:31" x14ac:dyDescent="0.25">
      <c r="L68" s="189"/>
      <c r="T68" s="73"/>
      <c r="U68" s="73"/>
      <c r="V68" s="73"/>
      <c r="W68" s="73"/>
      <c r="X68" s="73"/>
      <c r="Y68" s="73"/>
      <c r="Z68" s="73"/>
      <c r="AA68" s="73"/>
      <c r="AB68" s="73"/>
      <c r="AC68" s="73"/>
      <c r="AD68" s="73"/>
      <c r="AE68" s="73"/>
    </row>
    <row r="69" spans="12:31" x14ac:dyDescent="0.25">
      <c r="L69" s="189"/>
      <c r="T69" s="73"/>
      <c r="U69" s="73"/>
      <c r="V69" s="73"/>
      <c r="W69" s="73"/>
      <c r="X69" s="73"/>
      <c r="Y69" s="73"/>
      <c r="Z69" s="73"/>
      <c r="AA69" s="73"/>
      <c r="AB69" s="73"/>
      <c r="AC69" s="73"/>
      <c r="AD69" s="73"/>
      <c r="AE69" s="73"/>
    </row>
    <row r="70" spans="12:31" x14ac:dyDescent="0.25">
      <c r="L70" s="189"/>
      <c r="T70" s="73"/>
      <c r="U70" s="73"/>
      <c r="V70" s="73"/>
      <c r="W70" s="73"/>
      <c r="X70" s="73"/>
      <c r="Y70" s="73"/>
      <c r="Z70" s="73"/>
      <c r="AA70" s="73"/>
      <c r="AB70" s="73"/>
      <c r="AC70" s="73"/>
      <c r="AD70" s="73"/>
      <c r="AE70" s="73"/>
    </row>
    <row r="71" spans="12:31" x14ac:dyDescent="0.25">
      <c r="L71" s="189"/>
      <c r="T71" s="73"/>
      <c r="U71" s="73"/>
      <c r="V71" s="73"/>
      <c r="W71" s="73"/>
      <c r="X71" s="73"/>
      <c r="Y71" s="73"/>
      <c r="Z71" s="73"/>
      <c r="AA71" s="73"/>
      <c r="AB71" s="73"/>
      <c r="AC71" s="73"/>
      <c r="AD71" s="73"/>
      <c r="AE71" s="73"/>
    </row>
    <row r="72" spans="12:31" x14ac:dyDescent="0.25">
      <c r="L72" s="189"/>
      <c r="T72" s="73"/>
      <c r="U72" s="73"/>
      <c r="V72" s="73"/>
      <c r="W72" s="73"/>
      <c r="X72" s="73"/>
      <c r="Y72" s="73"/>
      <c r="Z72" s="73"/>
      <c r="AA72" s="73"/>
      <c r="AB72" s="73"/>
      <c r="AC72" s="73"/>
      <c r="AD72" s="73"/>
      <c r="AE72" s="73"/>
    </row>
    <row r="73" spans="12:31" x14ac:dyDescent="0.25">
      <c r="L73" s="189"/>
      <c r="T73" s="73"/>
      <c r="U73" s="73"/>
      <c r="V73" s="73"/>
      <c r="W73" s="73"/>
      <c r="X73" s="73"/>
      <c r="Y73" s="73"/>
      <c r="Z73" s="73"/>
      <c r="AA73" s="73"/>
      <c r="AB73" s="73"/>
      <c r="AC73" s="73"/>
      <c r="AD73" s="73"/>
      <c r="AE73" s="73"/>
    </row>
    <row r="74" spans="12:31" x14ac:dyDescent="0.25">
      <c r="L74" s="189"/>
      <c r="T74" s="73"/>
      <c r="U74" s="73"/>
      <c r="V74" s="73"/>
      <c r="W74" s="73"/>
      <c r="X74" s="73"/>
      <c r="Y74" s="73"/>
      <c r="Z74" s="73"/>
      <c r="AA74" s="73"/>
      <c r="AB74" s="73"/>
      <c r="AC74" s="73"/>
      <c r="AD74" s="73"/>
      <c r="AE74" s="73"/>
    </row>
    <row r="75" spans="12:31" x14ac:dyDescent="0.25">
      <c r="L75" s="189"/>
      <c r="T75" s="73"/>
      <c r="U75" s="73"/>
      <c r="V75" s="73"/>
      <c r="W75" s="73"/>
      <c r="X75" s="73"/>
      <c r="Y75" s="73"/>
      <c r="Z75" s="73"/>
      <c r="AA75" s="73"/>
      <c r="AB75" s="73"/>
      <c r="AC75" s="73"/>
      <c r="AD75" s="73"/>
      <c r="AE75" s="73"/>
    </row>
    <row r="76" spans="12:31" x14ac:dyDescent="0.25">
      <c r="L76" s="189"/>
      <c r="T76" s="73"/>
      <c r="U76" s="73"/>
      <c r="V76" s="73"/>
      <c r="W76" s="73"/>
      <c r="X76" s="73"/>
      <c r="Y76" s="73"/>
      <c r="Z76" s="73"/>
      <c r="AA76" s="73"/>
      <c r="AB76" s="73"/>
      <c r="AC76" s="73"/>
      <c r="AD76" s="73"/>
      <c r="AE76" s="73"/>
    </row>
    <row r="77" spans="12:31" x14ac:dyDescent="0.25">
      <c r="L77" s="189"/>
      <c r="T77" s="73"/>
      <c r="U77" s="73"/>
      <c r="V77" s="73"/>
      <c r="W77" s="73"/>
      <c r="X77" s="73"/>
      <c r="Y77" s="73"/>
      <c r="Z77" s="73"/>
      <c r="AA77" s="73"/>
      <c r="AB77" s="73"/>
      <c r="AC77" s="73"/>
      <c r="AD77" s="73"/>
      <c r="AE77" s="73"/>
    </row>
    <row r="78" spans="12:31" x14ac:dyDescent="0.25">
      <c r="L78" s="189"/>
      <c r="T78" s="73"/>
      <c r="U78" s="73"/>
      <c r="V78" s="73"/>
      <c r="W78" s="73"/>
      <c r="X78" s="73"/>
      <c r="Y78" s="73"/>
      <c r="Z78" s="73"/>
      <c r="AA78" s="73"/>
      <c r="AB78" s="73"/>
      <c r="AC78" s="73"/>
      <c r="AD78" s="73"/>
      <c r="AE78" s="73"/>
    </row>
    <row r="79" spans="12:31" x14ac:dyDescent="0.25">
      <c r="L79" s="189"/>
      <c r="T79" s="73"/>
      <c r="U79" s="73"/>
      <c r="V79" s="73"/>
      <c r="W79" s="73"/>
      <c r="X79" s="73"/>
      <c r="Y79" s="73"/>
      <c r="Z79" s="73"/>
      <c r="AA79" s="73"/>
      <c r="AB79" s="73"/>
      <c r="AC79" s="73"/>
      <c r="AD79" s="73"/>
      <c r="AE79" s="73"/>
    </row>
    <row r="80" spans="12:31" x14ac:dyDescent="0.25">
      <c r="L80" s="189"/>
      <c r="T80" s="73"/>
      <c r="U80" s="73"/>
      <c r="V80" s="73"/>
      <c r="W80" s="73"/>
      <c r="X80" s="73"/>
      <c r="Y80" s="73"/>
      <c r="Z80" s="73"/>
      <c r="AA80" s="73"/>
      <c r="AB80" s="73"/>
      <c r="AC80" s="73"/>
      <c r="AD80" s="73"/>
      <c r="AE80" s="73"/>
    </row>
    <row r="81" spans="12:31" x14ac:dyDescent="0.25">
      <c r="L81" s="189"/>
      <c r="T81" s="73"/>
      <c r="U81" s="73"/>
      <c r="V81" s="73"/>
      <c r="W81" s="73"/>
      <c r="X81" s="73"/>
      <c r="Y81" s="73"/>
      <c r="Z81" s="73"/>
      <c r="AA81" s="73"/>
      <c r="AB81" s="73"/>
      <c r="AC81" s="73"/>
      <c r="AD81" s="73"/>
      <c r="AE81" s="73"/>
    </row>
    <row r="82" spans="12:31" x14ac:dyDescent="0.25">
      <c r="L82" s="189"/>
      <c r="T82" s="73"/>
      <c r="U82" s="73"/>
      <c r="V82" s="73"/>
      <c r="W82" s="73"/>
      <c r="X82" s="73"/>
      <c r="Y82" s="73"/>
      <c r="Z82" s="73"/>
      <c r="AA82" s="73"/>
      <c r="AB82" s="73"/>
      <c r="AC82" s="73"/>
      <c r="AD82" s="73"/>
      <c r="AE82" s="73"/>
    </row>
    <row r="83" spans="12:31" x14ac:dyDescent="0.25">
      <c r="L83" s="189"/>
      <c r="T83" s="73"/>
      <c r="U83" s="73"/>
      <c r="V83" s="73"/>
      <c r="W83" s="73"/>
      <c r="X83" s="73"/>
      <c r="Y83" s="73"/>
      <c r="Z83" s="73"/>
      <c r="AA83" s="73"/>
      <c r="AB83" s="73"/>
      <c r="AC83" s="73"/>
      <c r="AD83" s="73"/>
      <c r="AE83" s="73"/>
    </row>
    <row r="84" spans="12:31" x14ac:dyDescent="0.25">
      <c r="L84" s="189"/>
      <c r="T84" s="73"/>
      <c r="U84" s="73"/>
      <c r="V84" s="73"/>
      <c r="W84" s="73"/>
      <c r="X84" s="73"/>
      <c r="Y84" s="73"/>
      <c r="Z84" s="73"/>
      <c r="AA84" s="73"/>
      <c r="AB84" s="73"/>
      <c r="AC84" s="73"/>
      <c r="AD84" s="73"/>
      <c r="AE84" s="73"/>
    </row>
    <row r="85" spans="12:31" x14ac:dyDescent="0.25">
      <c r="L85" s="189"/>
      <c r="T85" s="73"/>
      <c r="U85" s="73"/>
      <c r="V85" s="73"/>
      <c r="W85" s="73"/>
      <c r="X85" s="73"/>
      <c r="Y85" s="73"/>
      <c r="Z85" s="73"/>
      <c r="AA85" s="73"/>
      <c r="AB85" s="73"/>
      <c r="AC85" s="73"/>
      <c r="AD85" s="73"/>
      <c r="AE85" s="73"/>
    </row>
    <row r="86" spans="12:31" x14ac:dyDescent="0.25">
      <c r="L86" s="189"/>
      <c r="T86" s="73"/>
      <c r="U86" s="73"/>
      <c r="V86" s="73"/>
      <c r="W86" s="73"/>
      <c r="X86" s="73"/>
      <c r="Y86" s="73"/>
      <c r="Z86" s="73"/>
      <c r="AA86" s="73"/>
      <c r="AB86" s="73"/>
      <c r="AC86" s="73"/>
      <c r="AD86" s="73"/>
      <c r="AE86" s="73"/>
    </row>
    <row r="87" spans="12:31" x14ac:dyDescent="0.25">
      <c r="L87" s="189"/>
      <c r="T87" s="73"/>
      <c r="U87" s="73"/>
      <c r="V87" s="73"/>
      <c r="W87" s="73"/>
      <c r="X87" s="73"/>
      <c r="Y87" s="73"/>
      <c r="Z87" s="73"/>
      <c r="AA87" s="73"/>
      <c r="AB87" s="73"/>
      <c r="AC87" s="73"/>
      <c r="AD87" s="73"/>
      <c r="AE87" s="73"/>
    </row>
    <row r="88" spans="12:31" x14ac:dyDescent="0.25">
      <c r="L88" s="189"/>
      <c r="T88" s="73"/>
      <c r="U88" s="73"/>
      <c r="V88" s="73"/>
      <c r="W88" s="73"/>
      <c r="X88" s="73"/>
      <c r="Y88" s="73"/>
      <c r="Z88" s="73"/>
      <c r="AA88" s="73"/>
      <c r="AB88" s="73"/>
      <c r="AC88" s="73"/>
      <c r="AD88" s="73"/>
      <c r="AE88" s="73"/>
    </row>
    <row r="89" spans="12:31" x14ac:dyDescent="0.25">
      <c r="L89" s="189"/>
      <c r="T89" s="73"/>
      <c r="U89" s="73"/>
      <c r="V89" s="73"/>
      <c r="W89" s="73"/>
      <c r="X89" s="73"/>
      <c r="Y89" s="73"/>
      <c r="Z89" s="73"/>
      <c r="AA89" s="73"/>
      <c r="AB89" s="73"/>
      <c r="AC89" s="73"/>
      <c r="AD89" s="73"/>
      <c r="AE89" s="73"/>
    </row>
    <row r="90" spans="12:31" x14ac:dyDescent="0.25">
      <c r="L90" s="189"/>
      <c r="T90" s="73"/>
      <c r="U90" s="73"/>
      <c r="V90" s="73"/>
      <c r="W90" s="73"/>
      <c r="X90" s="73"/>
      <c r="Y90" s="73"/>
      <c r="Z90" s="73"/>
      <c r="AA90" s="73"/>
      <c r="AB90" s="73"/>
      <c r="AC90" s="73"/>
      <c r="AD90" s="73"/>
      <c r="AE90" s="73"/>
    </row>
    <row r="91" spans="12:31" x14ac:dyDescent="0.25">
      <c r="L91" s="189"/>
      <c r="T91" s="73"/>
      <c r="U91" s="73"/>
      <c r="V91" s="73"/>
      <c r="W91" s="73"/>
      <c r="X91" s="73"/>
      <c r="Y91" s="73"/>
      <c r="Z91" s="73"/>
      <c r="AA91" s="73"/>
      <c r="AB91" s="73"/>
      <c r="AC91" s="73"/>
      <c r="AD91" s="73"/>
      <c r="AE91" s="73"/>
    </row>
    <row r="92" spans="12:31" x14ac:dyDescent="0.25">
      <c r="L92" s="189"/>
      <c r="T92" s="73"/>
      <c r="U92" s="73"/>
      <c r="V92" s="73"/>
      <c r="W92" s="73"/>
      <c r="X92" s="73"/>
      <c r="Y92" s="73"/>
      <c r="Z92" s="73"/>
      <c r="AA92" s="73"/>
      <c r="AB92" s="73"/>
      <c r="AC92" s="73"/>
      <c r="AD92" s="73"/>
      <c r="AE92" s="73"/>
    </row>
    <row r="93" spans="12:31" x14ac:dyDescent="0.25">
      <c r="L93" s="189"/>
      <c r="T93" s="73"/>
      <c r="U93" s="73"/>
      <c r="V93" s="73"/>
      <c r="W93" s="73"/>
      <c r="X93" s="73"/>
      <c r="Y93" s="73"/>
      <c r="Z93" s="73"/>
      <c r="AA93" s="73"/>
      <c r="AB93" s="73"/>
      <c r="AC93" s="73"/>
      <c r="AD93" s="73"/>
      <c r="AE93" s="73"/>
    </row>
    <row r="94" spans="12:31" x14ac:dyDescent="0.25">
      <c r="L94" s="189"/>
      <c r="T94" s="73"/>
      <c r="U94" s="73"/>
      <c r="V94" s="73"/>
      <c r="W94" s="73"/>
      <c r="X94" s="73"/>
      <c r="Y94" s="73"/>
      <c r="Z94" s="73"/>
      <c r="AA94" s="73"/>
      <c r="AB94" s="73"/>
      <c r="AC94" s="73"/>
      <c r="AD94" s="73"/>
      <c r="AE94" s="73"/>
    </row>
    <row r="95" spans="12:31" x14ac:dyDescent="0.25">
      <c r="L95" s="189"/>
      <c r="T95" s="73"/>
      <c r="U95" s="73"/>
      <c r="V95" s="73"/>
      <c r="W95" s="73"/>
      <c r="X95" s="73"/>
      <c r="Y95" s="73"/>
      <c r="Z95" s="73"/>
      <c r="AA95" s="73"/>
      <c r="AB95" s="73"/>
      <c r="AC95" s="73"/>
      <c r="AD95" s="73"/>
      <c r="AE95" s="73"/>
    </row>
    <row r="96" spans="12:31" x14ac:dyDescent="0.25">
      <c r="L96" s="189"/>
      <c r="T96" s="73"/>
      <c r="U96" s="73"/>
      <c r="V96" s="73"/>
      <c r="W96" s="73"/>
      <c r="X96" s="73"/>
      <c r="Y96" s="73"/>
      <c r="Z96" s="73"/>
      <c r="AA96" s="73"/>
      <c r="AB96" s="73"/>
      <c r="AC96" s="73"/>
      <c r="AD96" s="73"/>
      <c r="AE96" s="73"/>
    </row>
    <row r="97" spans="1:31" x14ac:dyDescent="0.25">
      <c r="L97" s="189"/>
      <c r="T97" s="73"/>
      <c r="U97" s="73"/>
      <c r="V97" s="73"/>
      <c r="W97" s="73"/>
      <c r="X97" s="73"/>
      <c r="Y97" s="73"/>
      <c r="Z97" s="73"/>
      <c r="AA97" s="73"/>
      <c r="AB97" s="73"/>
      <c r="AC97" s="73"/>
      <c r="AD97" s="73"/>
      <c r="AE97" s="73"/>
    </row>
    <row r="98" spans="1:31" x14ac:dyDescent="0.25">
      <c r="L98" s="189"/>
      <c r="T98" s="73"/>
      <c r="U98" s="73"/>
      <c r="V98" s="73"/>
      <c r="W98" s="73"/>
      <c r="X98" s="73"/>
      <c r="Y98" s="73"/>
      <c r="Z98" s="73"/>
      <c r="AA98" s="73"/>
      <c r="AB98" s="73"/>
      <c r="AC98" s="73"/>
      <c r="AD98" s="73"/>
      <c r="AE98" s="73"/>
    </row>
    <row r="99" spans="1:31" x14ac:dyDescent="0.25">
      <c r="L99" s="189"/>
      <c r="T99" s="73"/>
      <c r="U99" s="73"/>
      <c r="V99" s="73"/>
      <c r="W99" s="73"/>
      <c r="X99" s="73"/>
      <c r="Y99" s="73"/>
      <c r="Z99" s="73"/>
      <c r="AA99" s="73"/>
      <c r="AB99" s="73"/>
      <c r="AC99" s="73"/>
      <c r="AD99" s="73"/>
      <c r="AE99" s="73"/>
    </row>
    <row r="100" spans="1:31" x14ac:dyDescent="0.25">
      <c r="L100" s="189"/>
      <c r="T100" s="73"/>
      <c r="U100" s="73"/>
      <c r="V100" s="73"/>
      <c r="W100" s="73"/>
      <c r="X100" s="73"/>
      <c r="Y100" s="73"/>
      <c r="Z100" s="73"/>
      <c r="AA100" s="73"/>
      <c r="AB100" s="73"/>
      <c r="AC100" s="73"/>
      <c r="AD100" s="73"/>
      <c r="AE100" s="73"/>
    </row>
    <row r="101" spans="1:31" x14ac:dyDescent="0.25">
      <c r="L101" s="189"/>
      <c r="T101" s="73"/>
      <c r="U101" s="73"/>
      <c r="V101" s="73"/>
      <c r="W101" s="73"/>
      <c r="X101" s="73"/>
      <c r="Y101" s="73"/>
      <c r="Z101" s="73"/>
      <c r="AA101" s="73"/>
      <c r="AB101" s="73"/>
      <c r="AC101" s="73"/>
      <c r="AD101" s="73"/>
      <c r="AE101" s="73"/>
    </row>
    <row r="102" spans="1:31" x14ac:dyDescent="0.25">
      <c r="L102" s="189"/>
      <c r="T102" s="73"/>
      <c r="U102" s="73"/>
      <c r="V102" s="73"/>
      <c r="W102" s="73"/>
      <c r="X102" s="73"/>
      <c r="Y102" s="73"/>
      <c r="Z102" s="73"/>
      <c r="AA102" s="73"/>
      <c r="AB102" s="73"/>
      <c r="AC102" s="73"/>
      <c r="AD102" s="73"/>
      <c r="AE102" s="73"/>
    </row>
    <row r="103" spans="1:31" x14ac:dyDescent="0.25">
      <c r="L103" s="189"/>
      <c r="T103" s="73"/>
      <c r="U103" s="73"/>
      <c r="V103" s="73"/>
      <c r="W103" s="73"/>
      <c r="X103" s="73"/>
      <c r="Y103" s="73"/>
      <c r="Z103" s="73"/>
      <c r="AA103" s="73"/>
      <c r="AB103" s="73"/>
      <c r="AC103" s="73"/>
      <c r="AD103" s="73"/>
      <c r="AE103" s="73"/>
    </row>
    <row r="104" spans="1:31" x14ac:dyDescent="0.25">
      <c r="L104" s="189"/>
      <c r="T104" s="73"/>
      <c r="U104" s="73"/>
      <c r="V104" s="73"/>
      <c r="W104" s="73"/>
      <c r="X104" s="73"/>
      <c r="Y104" s="73"/>
      <c r="Z104" s="73"/>
      <c r="AA104" s="73"/>
      <c r="AB104" s="73"/>
      <c r="AC104" s="73"/>
      <c r="AD104" s="73"/>
      <c r="AE104" s="73"/>
    </row>
    <row r="105" spans="1:31" x14ac:dyDescent="0.25">
      <c r="L105" s="189"/>
      <c r="T105" s="73"/>
      <c r="U105" s="73"/>
      <c r="V105" s="73"/>
      <c r="W105" s="73"/>
      <c r="X105" s="73"/>
      <c r="Y105" s="73"/>
      <c r="Z105" s="73"/>
      <c r="AA105" s="73"/>
      <c r="AB105" s="73"/>
      <c r="AC105" s="73"/>
      <c r="AD105" s="73"/>
      <c r="AE105" s="73"/>
    </row>
    <row r="106" spans="1:31" x14ac:dyDescent="0.25">
      <c r="L106" s="189"/>
      <c r="T106" s="73"/>
      <c r="U106" s="73"/>
      <c r="V106" s="73"/>
      <c r="W106" s="73"/>
      <c r="X106" s="73"/>
      <c r="Y106" s="73"/>
      <c r="Z106" s="73"/>
      <c r="AA106" s="73"/>
      <c r="AB106" s="73"/>
      <c r="AC106" s="73"/>
      <c r="AD106" s="73"/>
      <c r="AE106" s="73"/>
    </row>
    <row r="107" spans="1:31" x14ac:dyDescent="0.25">
      <c r="L107" s="189"/>
      <c r="T107" s="73"/>
      <c r="U107" s="73"/>
      <c r="V107" s="73"/>
      <c r="W107" s="73"/>
      <c r="X107" s="73"/>
      <c r="Y107" s="73"/>
      <c r="Z107" s="73"/>
      <c r="AA107" s="73"/>
      <c r="AB107" s="73"/>
      <c r="AC107" s="73"/>
      <c r="AD107" s="73"/>
      <c r="AE107" s="73"/>
    </row>
    <row r="108" spans="1:31" x14ac:dyDescent="0.25">
      <c r="L108" s="189"/>
      <c r="T108" s="73"/>
      <c r="U108" s="73"/>
      <c r="V108" s="73"/>
      <c r="W108" s="73"/>
      <c r="X108" s="73"/>
      <c r="Y108" s="73"/>
      <c r="Z108" s="73"/>
      <c r="AA108" s="73"/>
      <c r="AB108" s="73"/>
      <c r="AC108" s="73"/>
      <c r="AD108" s="73"/>
      <c r="AE108" s="73"/>
    </row>
    <row r="109" spans="1:31" x14ac:dyDescent="0.25">
      <c r="L109" s="189"/>
      <c r="T109" s="73"/>
      <c r="U109" s="73"/>
      <c r="V109" s="73"/>
      <c r="W109" s="73"/>
      <c r="X109" s="73"/>
      <c r="Y109" s="73"/>
      <c r="Z109" s="73"/>
      <c r="AA109" s="73"/>
      <c r="AB109" s="73"/>
      <c r="AC109" s="73"/>
      <c r="AD109" s="73"/>
      <c r="AE109" s="73"/>
    </row>
    <row r="110" spans="1:31" ht="22.8" x14ac:dyDescent="0.4">
      <c r="A110" s="64"/>
      <c r="B110" s="65" t="s">
        <v>434</v>
      </c>
      <c r="C110" s="64"/>
      <c r="D110" s="64"/>
      <c r="E110" s="64"/>
      <c r="F110" s="64"/>
      <c r="G110" s="64"/>
      <c r="H110" s="64"/>
      <c r="I110" s="64"/>
      <c r="J110" s="64"/>
      <c r="K110" s="64"/>
      <c r="L110" s="64"/>
      <c r="M110" s="64"/>
      <c r="N110" s="64"/>
      <c r="O110" s="64"/>
      <c r="P110" s="64"/>
      <c r="Q110" s="64"/>
      <c r="R110" s="64"/>
      <c r="S110" s="64"/>
    </row>
    <row r="112" spans="1:31" ht="15" customHeight="1" x14ac:dyDescent="0.4">
      <c r="A112" s="73"/>
      <c r="B112" s="457"/>
      <c r="C112" s="73"/>
      <c r="D112" s="73"/>
      <c r="E112" s="73"/>
      <c r="F112" s="73"/>
      <c r="G112" s="73"/>
      <c r="H112" s="73"/>
      <c r="I112" s="73"/>
      <c r="J112" s="73"/>
      <c r="K112" s="73"/>
      <c r="L112" s="73"/>
      <c r="M112" s="73"/>
      <c r="N112" s="73"/>
      <c r="O112" s="73"/>
      <c r="P112" s="73"/>
      <c r="Q112" s="73"/>
      <c r="R112" s="73"/>
      <c r="S112" s="73"/>
    </row>
    <row r="113" spans="1:19" ht="15" customHeight="1" x14ac:dyDescent="0.4">
      <c r="A113" s="73"/>
      <c r="B113" s="457"/>
      <c r="C113" s="73"/>
      <c r="D113" s="73"/>
      <c r="E113" s="73"/>
      <c r="F113" s="73"/>
      <c r="G113" s="73"/>
      <c r="H113" s="73"/>
      <c r="I113" s="73"/>
      <c r="J113" s="73"/>
      <c r="K113" s="73"/>
      <c r="L113" s="73"/>
      <c r="M113" s="73"/>
      <c r="N113" s="73"/>
      <c r="O113" s="73"/>
      <c r="P113" s="73"/>
      <c r="Q113" s="73"/>
      <c r="R113" s="73"/>
      <c r="S113" s="73"/>
    </row>
    <row r="117" spans="1:19" ht="14.4" thickBot="1" x14ac:dyDescent="0.3">
      <c r="B117" s="74"/>
      <c r="C117" s="75"/>
      <c r="D117" s="75"/>
    </row>
    <row r="118" spans="1:19" ht="30.6" thickBot="1" x14ac:dyDescent="0.4">
      <c r="B118" s="159" t="s">
        <v>449</v>
      </c>
      <c r="C118" s="161">
        <v>2018</v>
      </c>
    </row>
    <row r="119" spans="1:19" x14ac:dyDescent="0.25">
      <c r="B119" s="76" t="s">
        <v>71</v>
      </c>
      <c r="C119" s="67">
        <f>'Dyrehold,2018'!AA8</f>
        <v>56940.427393257414</v>
      </c>
    </row>
    <row r="120" spans="1:19" x14ac:dyDescent="0.25">
      <c r="B120" s="77" t="s">
        <v>386</v>
      </c>
      <c r="C120" s="70">
        <f>SUBTOTAL(9,'Dyrehold,2018'!AA9:AA21)</f>
        <v>48110.32787008278</v>
      </c>
    </row>
    <row r="121" spans="1:19" x14ac:dyDescent="0.25">
      <c r="B121" s="77" t="s">
        <v>72</v>
      </c>
      <c r="C121" s="70">
        <f>'Planteavl,2018'!$AE$10</f>
        <v>10046.587432728156</v>
      </c>
    </row>
    <row r="122" spans="1:19" x14ac:dyDescent="0.25">
      <c r="B122" s="77" t="s">
        <v>73</v>
      </c>
      <c r="C122" s="70">
        <f>'Planteavl,2018'!AE19</f>
        <v>2998.9625914285716</v>
      </c>
    </row>
    <row r="123" spans="1:19" x14ac:dyDescent="0.25">
      <c r="B123" s="77" t="s">
        <v>74</v>
      </c>
      <c r="C123" s="70">
        <f>'Planteavl,2018'!AE20</f>
        <v>7494.1401857142864</v>
      </c>
    </row>
    <row r="124" spans="1:19" x14ac:dyDescent="0.25">
      <c r="B124" s="77" t="s">
        <v>75</v>
      </c>
      <c r="C124" s="70">
        <f>'Planteavl,2018'!AE15</f>
        <v>19.499417142857141</v>
      </c>
    </row>
    <row r="125" spans="1:19" x14ac:dyDescent="0.25">
      <c r="B125" s="77" t="s">
        <v>349</v>
      </c>
      <c r="C125" s="70">
        <f>'Planteavl,2018'!AE11+'Planteavl,2018'!AE13</f>
        <v>16074.053482142857</v>
      </c>
    </row>
    <row r="126" spans="1:19" x14ac:dyDescent="0.25">
      <c r="B126" s="77" t="s">
        <v>76</v>
      </c>
      <c r="C126" s="70">
        <f>'Planteavl,2018'!AE16</f>
        <v>24399.413688571425</v>
      </c>
    </row>
    <row r="127" spans="1:19" x14ac:dyDescent="0.25">
      <c r="B127" s="77" t="s">
        <v>77</v>
      </c>
      <c r="C127" s="70">
        <f>'Planteavl,2018'!AE17</f>
        <v>15569.329285714288</v>
      </c>
    </row>
    <row r="128" spans="1:19" x14ac:dyDescent="0.25">
      <c r="B128" s="77" t="s">
        <v>78</v>
      </c>
      <c r="C128" s="70">
        <f>'Planteavl,2018'!AE18</f>
        <v>1483.7362149731812</v>
      </c>
    </row>
    <row r="129" spans="2:4" ht="14.4" thickBot="1" x14ac:dyDescent="0.3">
      <c r="B129" s="162" t="s">
        <v>227</v>
      </c>
      <c r="C129" s="163">
        <f>'Planteavl,2018'!AE21+'Planteavl,2018'!AE22+'Planteavl,2018'!AE23</f>
        <v>4424.2574648727514</v>
      </c>
    </row>
    <row r="130" spans="2:4" ht="14.4" thickBot="1" x14ac:dyDescent="0.3">
      <c r="B130" s="157" t="s">
        <v>61</v>
      </c>
      <c r="C130" s="158">
        <f>SUM(C119:C129)</f>
        <v>187560.73502662856</v>
      </c>
    </row>
    <row r="131" spans="2:4" ht="14.4" x14ac:dyDescent="0.3">
      <c r="B131" s="164" t="s">
        <v>350</v>
      </c>
    </row>
    <row r="132" spans="2:4" x14ac:dyDescent="0.25">
      <c r="B132" s="36" t="s">
        <v>435</v>
      </c>
    </row>
    <row r="133" spans="2:4" x14ac:dyDescent="0.25">
      <c r="D133" s="79"/>
    </row>
    <row r="139" spans="2:4" ht="14.4" thickBot="1" x14ac:dyDescent="0.3"/>
    <row r="140" spans="2:4" ht="14.4" thickBot="1" x14ac:dyDescent="0.3">
      <c r="B140" s="159" t="s">
        <v>454</v>
      </c>
      <c r="C140" s="161">
        <v>2018</v>
      </c>
    </row>
    <row r="141" spans="2:4" x14ac:dyDescent="0.25">
      <c r="B141" s="76" t="s">
        <v>80</v>
      </c>
      <c r="C141" s="67">
        <f>'Arealanvendelse, 2018'!B10+'Arealanvendelse, 2018'!C18+'Arealanvendelse, 2018'!D18+'Arealanvendelse, 2018'!E18+'Arealanvendelse, 2018'!H18</f>
        <v>7075.1850000000004</v>
      </c>
    </row>
    <row r="142" spans="2:4" x14ac:dyDescent="0.25">
      <c r="B142" s="77" t="s">
        <v>365</v>
      </c>
      <c r="C142" s="70">
        <f>'Arealanvendelse, 2018'!C11+'Arealanvendelse, 2018'!B19+'Arealanvendelse, 2018'!D19+'Arealanvendelse, 2018'!E19+'Arealanvendelse, 2018'!H19</f>
        <v>54195.254999999997</v>
      </c>
    </row>
    <row r="143" spans="2:4" x14ac:dyDescent="0.25">
      <c r="B143" s="77" t="s">
        <v>453</v>
      </c>
      <c r="C143" s="70">
        <f>'Arealanvendelse, 2018'!D12+'Arealanvendelse, 2018'!B20+'Arealanvendelse, 2018'!C20+'Arealanvendelse, 2018'!E20+'Arealanvendelse, 2018'!H20</f>
        <v>2250.3775000000001</v>
      </c>
    </row>
    <row r="144" spans="2:4" x14ac:dyDescent="0.25">
      <c r="B144" s="77" t="s">
        <v>83</v>
      </c>
      <c r="C144" s="70">
        <f>'Arealanvendelse, 2018'!E13+'Arealanvendelse, 2018'!B21+'Arealanvendelse, 2018'!C21+'Arealanvendelse, 2018'!D21+'Arealanvendelse, 2018'!H21</f>
        <v>1747.8125</v>
      </c>
    </row>
    <row r="145" spans="2:3" x14ac:dyDescent="0.25">
      <c r="B145" s="77" t="s">
        <v>336</v>
      </c>
      <c r="C145" s="70">
        <f>'Arealanvendelse, 2018'!F14+'Arealanvendelse, 2018'!B22+'Arealanvendelse, 2018'!C22+'Arealanvendelse, 2018'!D22+'Arealanvendelse, 2018'!H22</f>
        <v>560.3125</v>
      </c>
    </row>
    <row r="146" spans="2:3" x14ac:dyDescent="0.25">
      <c r="B146" s="77" t="s">
        <v>84</v>
      </c>
      <c r="C146" s="70">
        <f>'Arealanvendelse, 2018'!G15+'Arealanvendelse, 2018'!B23+'Arealanvendelse, 2018'!C23+'Arealanvendelse, 2018'!D23+'Arealanvendelse, 2018'!E23+'Arealanvendelse, 2018'!H23</f>
        <v>8518.8125</v>
      </c>
    </row>
    <row r="147" spans="2:3" ht="14.4" thickBot="1" x14ac:dyDescent="0.3">
      <c r="B147" s="77" t="s">
        <v>85</v>
      </c>
      <c r="C147" s="70">
        <f>'Arealanvendelse, 2018'!H16+'Arealanvendelse, 2018'!H24</f>
        <v>3.5</v>
      </c>
    </row>
    <row r="148" spans="2:3" ht="14.4" thickBot="1" x14ac:dyDescent="0.3">
      <c r="B148" s="157" t="s">
        <v>61</v>
      </c>
      <c r="C148" s="158">
        <f>SUM(C141:C147)</f>
        <v>74351.255000000005</v>
      </c>
    </row>
    <row r="162" spans="2:11" ht="14.4" thickBot="1" x14ac:dyDescent="0.3"/>
    <row r="163" spans="2:11" ht="28.5" customHeight="1" thickBot="1" x14ac:dyDescent="0.4">
      <c r="B163" s="203" t="s">
        <v>450</v>
      </c>
      <c r="C163" s="161">
        <v>2018</v>
      </c>
      <c r="G163" s="590" t="s">
        <v>451</v>
      </c>
      <c r="H163" s="592">
        <v>2018</v>
      </c>
      <c r="I163" s="592"/>
      <c r="J163" s="592"/>
      <c r="K163" s="593"/>
    </row>
    <row r="164" spans="2:11" ht="16.2" x14ac:dyDescent="0.35">
      <c r="B164" s="76" t="s">
        <v>80</v>
      </c>
      <c r="C164" s="67">
        <f>'Arealanvendelse, 2018'!P10</f>
        <v>6811.8587418167672</v>
      </c>
      <c r="G164" s="591"/>
      <c r="H164" s="455" t="s">
        <v>427</v>
      </c>
      <c r="I164" s="455" t="s">
        <v>424</v>
      </c>
      <c r="J164" s="455" t="s">
        <v>425</v>
      </c>
      <c r="K164" s="456" t="s">
        <v>426</v>
      </c>
    </row>
    <row r="165" spans="2:11" ht="27.6" x14ac:dyDescent="0.25">
      <c r="B165" s="77" t="s">
        <v>365</v>
      </c>
      <c r="C165" s="70">
        <f>'Arealanvendelse, 2018'!P11</f>
        <v>125577.23619510085</v>
      </c>
      <c r="G165" s="199" t="s">
        <v>455</v>
      </c>
      <c r="H165" s="69">
        <f>'Arealanvendelse, 2018'!P28+'Arealanvendelse, 2018'!P29</f>
        <v>5509.7422387499992</v>
      </c>
      <c r="I165" s="69">
        <f>'Arealanvendelse, 2018'!K28+'Arealanvendelse, 2018'!K29</f>
        <v>687.12071250000008</v>
      </c>
      <c r="J165" s="69">
        <f>'Arealanvendelse, 2018'!L28+'Arealanvendelse, 2018'!L29</f>
        <v>169.40268874999998</v>
      </c>
      <c r="K165" s="70">
        <f>'Arealanvendelse, 2018'!M28+'Arealanvendelse, 2018'!M29</f>
        <v>1.9716587499999998</v>
      </c>
    </row>
    <row r="166" spans="2:11" ht="28.2" thickBot="1" x14ac:dyDescent="0.3">
      <c r="B166" s="77" t="s">
        <v>82</v>
      </c>
      <c r="C166" s="70">
        <f>'Arealanvendelse, 2018'!P12</f>
        <v>11303.801983051075</v>
      </c>
      <c r="G166" s="200" t="s">
        <v>456</v>
      </c>
      <c r="H166" s="186">
        <f>'Arealanvendelse, 2018'!P30+'Arealanvendelse, 2018'!P31</f>
        <v>218.00390625</v>
      </c>
      <c r="I166" s="186">
        <f>'Arealanvendelse, 2018'!K30+'Arealanvendelse, 2018'!K31</f>
        <v>0</v>
      </c>
      <c r="J166" s="186">
        <f>'Arealanvendelse, 2018'!L30+'Arealanvendelse, 2018'!L31</f>
        <v>8.7201562500000005</v>
      </c>
      <c r="K166" s="78">
        <f>'Arealanvendelse, 2018'!M30+'Arealanvendelse, 2018'!M31</f>
        <v>0</v>
      </c>
    </row>
    <row r="167" spans="2:11" ht="14.4" thickBot="1" x14ac:dyDescent="0.3">
      <c r="B167" s="198" t="s">
        <v>366</v>
      </c>
      <c r="C167" s="78">
        <f>'Arealanvendelse, 2018'!P13</f>
        <v>0</v>
      </c>
    </row>
    <row r="179" spans="2:15" x14ac:dyDescent="0.25">
      <c r="M179" s="73"/>
      <c r="N179" s="73"/>
      <c r="O179" s="73"/>
    </row>
    <row r="180" spans="2:15" ht="14.4" x14ac:dyDescent="0.3">
      <c r="M180" s="441"/>
      <c r="N180" s="73"/>
      <c r="O180" s="73"/>
    </row>
    <row r="181" spans="2:15" ht="14.4" x14ac:dyDescent="0.3">
      <c r="M181" s="442"/>
      <c r="N181" s="73"/>
      <c r="O181" s="73"/>
    </row>
    <row r="182" spans="2:15" ht="30" customHeight="1" x14ac:dyDescent="0.25">
      <c r="M182" s="443"/>
      <c r="N182" s="444"/>
      <c r="O182" s="73"/>
    </row>
    <row r="183" spans="2:15" x14ac:dyDescent="0.25">
      <c r="M183" s="201"/>
      <c r="N183" s="184"/>
      <c r="O183" s="73"/>
    </row>
    <row r="184" spans="2:15" x14ac:dyDescent="0.25">
      <c r="M184" s="201"/>
      <c r="N184" s="184"/>
      <c r="O184" s="73"/>
    </row>
    <row r="185" spans="2:15" x14ac:dyDescent="0.25">
      <c r="M185" s="201"/>
      <c r="N185" s="184"/>
      <c r="O185" s="73"/>
    </row>
    <row r="186" spans="2:15" ht="14.4" thickBot="1" x14ac:dyDescent="0.3">
      <c r="M186" s="445"/>
      <c r="N186" s="73"/>
      <c r="O186" s="73"/>
    </row>
    <row r="187" spans="2:15" ht="44.4" thickBot="1" x14ac:dyDescent="0.4">
      <c r="B187" s="600" t="s">
        <v>459</v>
      </c>
      <c r="C187" s="602">
        <v>2018</v>
      </c>
      <c r="D187" s="602"/>
      <c r="E187" s="603"/>
      <c r="G187" s="159" t="s">
        <v>489</v>
      </c>
      <c r="H187" s="202">
        <v>2018</v>
      </c>
      <c r="J187" s="73"/>
      <c r="K187" s="73"/>
      <c r="M187" s="446"/>
      <c r="N187" s="73"/>
      <c r="O187" s="73"/>
    </row>
    <row r="188" spans="2:15" ht="15" thickBot="1" x14ac:dyDescent="0.35">
      <c r="B188" s="601"/>
      <c r="C188" s="450"/>
      <c r="D188" s="451" t="s">
        <v>75</v>
      </c>
      <c r="E188" s="452" t="s">
        <v>61</v>
      </c>
      <c r="G188" s="506" t="s">
        <v>371</v>
      </c>
      <c r="H188" s="67">
        <f>'Arealanvendelse, 2018'!P33</f>
        <v>15257.672578125002</v>
      </c>
      <c r="J188" s="73"/>
      <c r="K188" s="73"/>
      <c r="M188" s="446"/>
      <c r="N188" s="73"/>
      <c r="O188" s="73"/>
    </row>
    <row r="189" spans="2:15" ht="15" thickBot="1" x14ac:dyDescent="0.35">
      <c r="B189" s="199" t="s">
        <v>384</v>
      </c>
      <c r="C189" s="448">
        <f>'Arealanvendelse, 2018'!P18</f>
        <v>-2513.2403261505492</v>
      </c>
      <c r="D189" s="449" t="s">
        <v>343</v>
      </c>
      <c r="E189" s="453">
        <f>SUM(C189:D189)</f>
        <v>-2513.2403261505492</v>
      </c>
      <c r="G189" s="507" t="s">
        <v>370</v>
      </c>
      <c r="H189" s="78">
        <f>'Arealanvendelse, 2018'!P35+'Arealanvendelse, 2018'!P34</f>
        <v>0</v>
      </c>
      <c r="J189" s="73"/>
      <c r="K189" s="73"/>
      <c r="M189" s="446"/>
      <c r="N189" s="73"/>
      <c r="O189" s="73"/>
    </row>
    <row r="190" spans="2:15" ht="14.4" x14ac:dyDescent="0.3">
      <c r="B190" s="199" t="s">
        <v>369</v>
      </c>
      <c r="C190" s="69">
        <f>'Arealanvendelse, 2018'!P19</f>
        <v>556.99643449944301</v>
      </c>
      <c r="D190" s="69">
        <f>'Arealanvendelse, 2018'!P25</f>
        <v>23.637594101501683</v>
      </c>
      <c r="E190" s="453">
        <f t="shared" ref="E190:E193" si="1">SUM(C190:D190)</f>
        <v>580.6340286009447</v>
      </c>
      <c r="J190" s="73"/>
      <c r="K190" s="73"/>
      <c r="M190" s="196"/>
    </row>
    <row r="191" spans="2:15" ht="14.4" x14ac:dyDescent="0.3">
      <c r="B191" s="199" t="s">
        <v>364</v>
      </c>
      <c r="C191" s="69">
        <f>'Arealanvendelse, 2018'!P20</f>
        <v>430.76927901054478</v>
      </c>
      <c r="D191" s="114">
        <f>'Arealanvendelse, 2018'!P26</f>
        <v>5.9060261837896331</v>
      </c>
      <c r="E191" s="453">
        <f t="shared" si="1"/>
        <v>436.67530519433438</v>
      </c>
      <c r="J191" s="73"/>
      <c r="K191" s="73"/>
      <c r="M191"/>
    </row>
    <row r="192" spans="2:15" ht="28.2" x14ac:dyDescent="0.3">
      <c r="B192" s="357" t="s">
        <v>367</v>
      </c>
      <c r="C192" s="430" t="str">
        <f>'Arealanvendelse, 2018'!P21</f>
        <v>NO</v>
      </c>
      <c r="D192" s="447" t="s">
        <v>343</v>
      </c>
      <c r="E192" s="453">
        <f t="shared" si="1"/>
        <v>0</v>
      </c>
      <c r="J192" s="73"/>
      <c r="K192" s="73"/>
      <c r="M192" s="195"/>
    </row>
    <row r="193" spans="2:13" ht="15" thickBot="1" x14ac:dyDescent="0.35">
      <c r="B193" s="200" t="s">
        <v>368</v>
      </c>
      <c r="C193" s="186">
        <f>'Arealanvendelse, 2018'!P23</f>
        <v>2643.9177284235852</v>
      </c>
      <c r="D193" s="186">
        <f>'Arealanvendelse, 2018'!P27</f>
        <v>1072.4481655734608</v>
      </c>
      <c r="E193" s="454">
        <f t="shared" si="1"/>
        <v>3716.365893997046</v>
      </c>
      <c r="J193" s="73"/>
      <c r="K193" s="73"/>
      <c r="M193" s="196"/>
    </row>
    <row r="194" spans="2:13" ht="14.4" x14ac:dyDescent="0.3">
      <c r="M194" s="196"/>
    </row>
    <row r="195" spans="2:13" ht="14.4" x14ac:dyDescent="0.3">
      <c r="M195"/>
    </row>
    <row r="196" spans="2:13" ht="14.4" x14ac:dyDescent="0.3">
      <c r="M196" s="193"/>
    </row>
    <row r="197" spans="2:13" ht="14.4" x14ac:dyDescent="0.3">
      <c r="M197" s="194"/>
    </row>
    <row r="198" spans="2:13" ht="14.4" x14ac:dyDescent="0.3">
      <c r="M198" s="194"/>
    </row>
    <row r="199" spans="2:13" ht="14.4" x14ac:dyDescent="0.3">
      <c r="M199" s="194"/>
    </row>
    <row r="200" spans="2:13" ht="14.4" x14ac:dyDescent="0.3">
      <c r="M200" s="194"/>
    </row>
    <row r="201" spans="2:13" ht="14.4" x14ac:dyDescent="0.3">
      <c r="B201" s="73"/>
      <c r="C201" s="73"/>
      <c r="D201" s="73"/>
      <c r="E201" s="73"/>
      <c r="F201" s="73"/>
      <c r="M201" s="194"/>
    </row>
    <row r="202" spans="2:13" ht="17.25" customHeight="1" x14ac:dyDescent="0.3">
      <c r="E202" s="73"/>
      <c r="F202" s="73"/>
      <c r="M202" s="197"/>
    </row>
    <row r="203" spans="2:13" ht="14.4" x14ac:dyDescent="0.3">
      <c r="E203" s="73"/>
      <c r="F203" s="201"/>
      <c r="M203" s="194"/>
    </row>
    <row r="204" spans="2:13" ht="14.4" x14ac:dyDescent="0.3">
      <c r="E204" s="73"/>
      <c r="F204" s="201"/>
      <c r="M204" s="194"/>
    </row>
    <row r="205" spans="2:13" ht="14.4" x14ac:dyDescent="0.3">
      <c r="E205" s="73"/>
      <c r="F205" s="81"/>
      <c r="M205" s="194"/>
    </row>
    <row r="206" spans="2:13" ht="14.4" x14ac:dyDescent="0.3">
      <c r="E206" s="73"/>
      <c r="F206" s="81"/>
      <c r="M206" s="194"/>
    </row>
    <row r="207" spans="2:13" ht="14.4" x14ac:dyDescent="0.3">
      <c r="E207" s="73"/>
      <c r="F207" s="81"/>
      <c r="M207" s="194"/>
    </row>
    <row r="208" spans="2:13" x14ac:dyDescent="0.25">
      <c r="E208" s="73"/>
      <c r="F208" s="81"/>
      <c r="M208" s="73"/>
    </row>
    <row r="209" spans="2:13" x14ac:dyDescent="0.25">
      <c r="M209" s="73"/>
    </row>
    <row r="210" spans="2:13" x14ac:dyDescent="0.25">
      <c r="M210" s="73"/>
    </row>
    <row r="211" spans="2:13" x14ac:dyDescent="0.25">
      <c r="M211" s="73"/>
    </row>
    <row r="212" spans="2:13" x14ac:dyDescent="0.25">
      <c r="M212" s="73"/>
    </row>
    <row r="213" spans="2:13" x14ac:dyDescent="0.25">
      <c r="M213" s="73"/>
    </row>
    <row r="214" spans="2:13" x14ac:dyDescent="0.25">
      <c r="M214" s="73"/>
    </row>
    <row r="215" spans="2:13" x14ac:dyDescent="0.25">
      <c r="M215" s="73"/>
    </row>
    <row r="216" spans="2:13" ht="41.4" x14ac:dyDescent="0.35">
      <c r="B216" s="467" t="s">
        <v>446</v>
      </c>
      <c r="C216" s="469" t="s">
        <v>70</v>
      </c>
      <c r="D216" s="470" t="s">
        <v>452</v>
      </c>
      <c r="M216" s="73"/>
    </row>
    <row r="217" spans="2:13" x14ac:dyDescent="0.25">
      <c r="B217" s="468" t="s">
        <v>53</v>
      </c>
      <c r="C217" s="69">
        <f>'Dyrehold,2018'!AA8</f>
        <v>56940.427393257414</v>
      </c>
      <c r="D217" s="69"/>
      <c r="M217" s="73"/>
    </row>
    <row r="218" spans="2:13" x14ac:dyDescent="0.25">
      <c r="B218" s="468" t="s">
        <v>436</v>
      </c>
      <c r="C218" s="69">
        <f>('Dyrehold,2018'!Y9+'Dyrehold,2018'!Y10+'Dyrehold,2018'!Y11+'Dyrehold,2018'!Y12+'Dyrehold,2018'!Y13+'Dyrehold,2018'!Y14+'Dyrehold,2018'!Y15)*298</f>
        <v>16729.015601195293</v>
      </c>
      <c r="D218" s="69"/>
      <c r="M218" s="73"/>
    </row>
    <row r="219" spans="2:13" x14ac:dyDescent="0.25">
      <c r="B219" s="468" t="s">
        <v>437</v>
      </c>
      <c r="C219" s="69">
        <f>('Dyrehold,2018'!X9+'Dyrehold,2018'!X10+'Dyrehold,2018'!X11+'Dyrehold,2018'!X12+'Dyrehold,2018'!X13+'Dyrehold,2018'!X14+'Dyrehold,2018'!X15)*25</f>
        <v>31464.88573365756</v>
      </c>
      <c r="D219" s="69"/>
      <c r="M219" s="73"/>
    </row>
    <row r="220" spans="2:13" x14ac:dyDescent="0.25">
      <c r="B220" s="468" t="s">
        <v>413</v>
      </c>
      <c r="C220" s="182"/>
      <c r="D220" s="69">
        <f>-('Dyrehold,2018'!$AA$16)</f>
        <v>0</v>
      </c>
      <c r="M220" s="73"/>
    </row>
    <row r="221" spans="2:13" x14ac:dyDescent="0.25">
      <c r="B221" s="468" t="s">
        <v>414</v>
      </c>
      <c r="C221" s="182"/>
      <c r="D221" s="69">
        <f>-('Dyrehold,2018'!$AA$17)</f>
        <v>20.695017864830351</v>
      </c>
      <c r="M221" s="73"/>
    </row>
    <row r="222" spans="2:13" x14ac:dyDescent="0.25">
      <c r="B222" s="468" t="s">
        <v>429</v>
      </c>
      <c r="C222" s="182"/>
      <c r="D222" s="69">
        <f>-('Dyrehold,2018'!$AA$18)</f>
        <v>18.670944425723697</v>
      </c>
      <c r="M222" s="73"/>
    </row>
    <row r="223" spans="2:13" x14ac:dyDescent="0.25">
      <c r="B223" s="468" t="s">
        <v>430</v>
      </c>
      <c r="C223" s="182"/>
      <c r="D223" s="69">
        <f>-('Dyrehold,2018'!$AA$19)</f>
        <v>10.211805801329026</v>
      </c>
      <c r="M223" s="73"/>
    </row>
    <row r="224" spans="2:13" x14ac:dyDescent="0.25">
      <c r="B224" s="468" t="s">
        <v>431</v>
      </c>
      <c r="C224" s="182"/>
      <c r="D224" s="69">
        <f>-('Dyrehold,2018'!$AA$20)</f>
        <v>0</v>
      </c>
      <c r="M224" s="73"/>
    </row>
    <row r="225" spans="1:19" x14ac:dyDescent="0.25">
      <c r="B225" s="468" t="s">
        <v>432</v>
      </c>
      <c r="C225" s="182"/>
      <c r="D225" s="69">
        <f>-('Dyrehold,2018'!$AA$21)</f>
        <v>33.99569667818885</v>
      </c>
      <c r="M225" s="73"/>
    </row>
    <row r="226" spans="1:19" x14ac:dyDescent="0.25">
      <c r="C226" s="79"/>
      <c r="M226" s="73"/>
    </row>
    <row r="227" spans="1:19" x14ac:dyDescent="0.25">
      <c r="C227" s="79"/>
      <c r="M227" s="73"/>
    </row>
    <row r="228" spans="1:19" x14ac:dyDescent="0.25">
      <c r="C228" s="79"/>
      <c r="M228" s="73"/>
    </row>
    <row r="229" spans="1:19" x14ac:dyDescent="0.25">
      <c r="C229" s="79"/>
      <c r="M229" s="73"/>
    </row>
    <row r="230" spans="1:19" x14ac:dyDescent="0.25">
      <c r="C230" s="79"/>
      <c r="M230" s="73"/>
    </row>
    <row r="231" spans="1:19" x14ac:dyDescent="0.25">
      <c r="C231" s="79"/>
      <c r="M231" s="73"/>
    </row>
    <row r="232" spans="1:19" x14ac:dyDescent="0.25">
      <c r="C232" s="79"/>
      <c r="M232" s="73"/>
    </row>
    <row r="233" spans="1:19" x14ac:dyDescent="0.25">
      <c r="C233" s="79"/>
      <c r="M233" s="73"/>
    </row>
    <row r="234" spans="1:19" x14ac:dyDescent="0.25">
      <c r="C234" s="79"/>
      <c r="M234" s="73"/>
    </row>
    <row r="235" spans="1:19" x14ac:dyDescent="0.25">
      <c r="C235" s="79"/>
      <c r="M235" s="73"/>
    </row>
    <row r="236" spans="1:19" x14ac:dyDescent="0.25">
      <c r="C236" s="79"/>
      <c r="M236" s="73"/>
    </row>
    <row r="237" spans="1:19" x14ac:dyDescent="0.25">
      <c r="C237" s="79"/>
      <c r="M237" s="73"/>
    </row>
    <row r="238" spans="1:19" x14ac:dyDescent="0.25">
      <c r="C238" s="79"/>
      <c r="M238" s="73"/>
    </row>
    <row r="239" spans="1:19" ht="15" customHeight="1" thickBot="1" x14ac:dyDescent="0.3">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460</v>
      </c>
      <c r="C240" s="458">
        <v>2018</v>
      </c>
      <c r="D240" s="73"/>
      <c r="E240" s="73"/>
      <c r="F240" s="73"/>
      <c r="G240" s="73"/>
      <c r="H240" s="73"/>
      <c r="I240" s="73"/>
      <c r="J240" s="73"/>
      <c r="K240" s="73"/>
      <c r="L240" s="73"/>
      <c r="M240" s="73"/>
      <c r="N240" s="73"/>
      <c r="O240" s="73"/>
      <c r="P240" s="73"/>
      <c r="Q240" s="73"/>
      <c r="R240" s="73"/>
      <c r="S240" s="73"/>
    </row>
    <row r="241" spans="1:19" ht="15" customHeight="1" x14ac:dyDescent="0.25">
      <c r="A241" s="73"/>
      <c r="B241" s="76" t="s">
        <v>2</v>
      </c>
      <c r="C241" s="67">
        <f>'Planteavl,2018'!B10</f>
        <v>11326.6</v>
      </c>
      <c r="D241" s="73"/>
      <c r="E241" s="73"/>
      <c r="F241" s="73"/>
      <c r="G241" s="73"/>
      <c r="H241" s="73"/>
      <c r="I241" s="73"/>
      <c r="J241" s="73"/>
      <c r="K241" s="73"/>
      <c r="L241" s="73"/>
      <c r="M241" s="73"/>
      <c r="N241" s="73"/>
      <c r="O241" s="73"/>
      <c r="P241" s="73"/>
      <c r="Q241" s="73"/>
      <c r="R241" s="73"/>
      <c r="S241" s="73"/>
    </row>
    <row r="242" spans="1:19" ht="15" customHeight="1" x14ac:dyDescent="0.25">
      <c r="A242" s="73"/>
      <c r="B242" s="77" t="s">
        <v>3</v>
      </c>
      <c r="C242" s="70">
        <f>'Planteavl,2018'!C10</f>
        <v>572.54</v>
      </c>
      <c r="D242" s="73"/>
      <c r="E242" s="73"/>
      <c r="F242" s="73"/>
      <c r="G242" s="73"/>
      <c r="H242" s="73"/>
      <c r="I242" s="73"/>
      <c r="J242" s="73"/>
      <c r="K242" s="73"/>
      <c r="L242" s="73"/>
      <c r="M242" s="73"/>
      <c r="N242" s="73"/>
      <c r="O242" s="73"/>
      <c r="P242" s="73"/>
      <c r="Q242" s="73"/>
      <c r="R242" s="73"/>
      <c r="S242" s="73"/>
    </row>
    <row r="243" spans="1:19" ht="15" customHeight="1" x14ac:dyDescent="0.25">
      <c r="A243" s="73"/>
      <c r="B243" s="77" t="s">
        <v>4</v>
      </c>
      <c r="C243" s="70">
        <f>'Planteavl,2018'!D10</f>
        <v>2459.4900000000002</v>
      </c>
      <c r="D243" s="73"/>
      <c r="E243" s="73"/>
      <c r="F243" s="73"/>
      <c r="G243" s="73"/>
      <c r="H243" s="73"/>
      <c r="I243" s="73"/>
      <c r="J243" s="73"/>
      <c r="K243" s="73"/>
      <c r="L243" s="73"/>
      <c r="M243" s="73"/>
      <c r="N243" s="73"/>
      <c r="O243" s="73"/>
      <c r="P243" s="73"/>
      <c r="Q243" s="73"/>
      <c r="R243" s="73"/>
      <c r="S243" s="73"/>
    </row>
    <row r="244" spans="1:19" ht="15" customHeight="1" x14ac:dyDescent="0.25">
      <c r="A244" s="73"/>
      <c r="B244" s="77" t="s">
        <v>5</v>
      </c>
      <c r="C244" s="70">
        <f>'Planteavl,2018'!E10</f>
        <v>2774.61</v>
      </c>
      <c r="D244" s="73"/>
      <c r="E244" s="73"/>
      <c r="F244" s="73"/>
      <c r="G244" s="73"/>
      <c r="H244" s="73"/>
      <c r="I244" s="73"/>
      <c r="J244" s="73"/>
      <c r="K244" s="73"/>
      <c r="L244" s="73"/>
      <c r="M244" s="73"/>
      <c r="N244" s="73"/>
      <c r="O244" s="73"/>
      <c r="P244" s="73"/>
      <c r="Q244" s="73"/>
      <c r="R244" s="73"/>
      <c r="S244" s="73"/>
    </row>
    <row r="245" spans="1:19" ht="15" customHeight="1" x14ac:dyDescent="0.25">
      <c r="A245" s="73"/>
      <c r="B245" s="77" t="s">
        <v>6</v>
      </c>
      <c r="C245" s="70">
        <f>'Planteavl,2018'!F10</f>
        <v>13191.73</v>
      </c>
      <c r="D245" s="73"/>
      <c r="E245" s="73"/>
      <c r="F245" s="73"/>
      <c r="G245" s="73"/>
      <c r="H245" s="73"/>
      <c r="I245" s="73"/>
      <c r="J245" s="73"/>
      <c r="K245" s="73"/>
      <c r="L245" s="73"/>
      <c r="M245" s="73"/>
      <c r="N245" s="73"/>
      <c r="O245" s="73"/>
      <c r="P245" s="73"/>
      <c r="Q245" s="73"/>
      <c r="R245" s="73"/>
      <c r="S245" s="73"/>
    </row>
    <row r="246" spans="1:19" ht="15" customHeight="1" x14ac:dyDescent="0.25">
      <c r="A246" s="73"/>
      <c r="B246" s="77" t="s">
        <v>7</v>
      </c>
      <c r="C246" s="70">
        <f>'Planteavl,2018'!G10</f>
        <v>1572.08</v>
      </c>
      <c r="D246" s="73"/>
      <c r="E246" s="73"/>
      <c r="F246" s="73"/>
      <c r="G246" s="73"/>
      <c r="H246" s="73"/>
      <c r="I246" s="73"/>
      <c r="J246" s="73"/>
      <c r="K246" s="73"/>
      <c r="L246" s="73"/>
      <c r="M246" s="73"/>
      <c r="N246" s="73"/>
      <c r="O246" s="73"/>
      <c r="P246" s="73"/>
      <c r="Q246" s="73"/>
      <c r="R246" s="73"/>
      <c r="S246" s="73"/>
    </row>
    <row r="247" spans="1:19" ht="15" customHeight="1" x14ac:dyDescent="0.25">
      <c r="A247" s="73"/>
      <c r="B247" s="77" t="s">
        <v>8</v>
      </c>
      <c r="C247" s="70">
        <f>'Planteavl,2018'!H10</f>
        <v>636.45000000000005</v>
      </c>
      <c r="D247" s="73"/>
      <c r="E247" s="73"/>
      <c r="F247" s="73"/>
      <c r="G247" s="73"/>
      <c r="H247" s="73"/>
      <c r="I247" s="73"/>
      <c r="J247" s="73"/>
      <c r="K247" s="73"/>
      <c r="L247" s="73"/>
      <c r="M247" s="73"/>
      <c r="N247" s="73"/>
      <c r="O247" s="73"/>
      <c r="P247" s="73"/>
      <c r="Q247" s="73"/>
      <c r="R247" s="73"/>
      <c r="S247" s="73"/>
    </row>
    <row r="248" spans="1:19" ht="15" customHeight="1" x14ac:dyDescent="0.25">
      <c r="A248" s="73"/>
      <c r="B248" s="77" t="s">
        <v>9</v>
      </c>
      <c r="C248" s="70">
        <f>'Planteavl,2018'!I10</f>
        <v>334.58000000000004</v>
      </c>
      <c r="D248" s="73"/>
      <c r="E248" s="73"/>
      <c r="F248" s="73"/>
      <c r="G248" s="73"/>
      <c r="H248" s="73"/>
      <c r="I248" s="73"/>
      <c r="J248" s="73"/>
      <c r="K248" s="73"/>
      <c r="L248" s="73"/>
      <c r="M248" s="73"/>
      <c r="N248" s="73"/>
      <c r="O248" s="73"/>
      <c r="P248" s="73"/>
      <c r="Q248" s="73"/>
      <c r="R248" s="73"/>
      <c r="S248" s="73"/>
    </row>
    <row r="249" spans="1:19" ht="15" customHeight="1" x14ac:dyDescent="0.25">
      <c r="A249" s="73"/>
      <c r="B249" s="77" t="s">
        <v>10</v>
      </c>
      <c r="C249" s="70">
        <f>'Planteavl,2018'!J10</f>
        <v>183.07999999999998</v>
      </c>
      <c r="D249" s="73"/>
      <c r="E249" s="73"/>
      <c r="F249" s="73"/>
      <c r="G249" s="73"/>
      <c r="H249" s="73"/>
      <c r="I249" s="73"/>
      <c r="J249" s="73"/>
      <c r="K249" s="73"/>
      <c r="L249" s="73"/>
      <c r="M249" s="73"/>
      <c r="N249" s="73"/>
      <c r="O249" s="73"/>
      <c r="P249" s="73"/>
      <c r="Q249" s="73"/>
      <c r="R249" s="73"/>
      <c r="S249" s="73"/>
    </row>
    <row r="250" spans="1:19" ht="15" customHeight="1" x14ac:dyDescent="0.25">
      <c r="A250" s="73"/>
      <c r="B250" s="77" t="s">
        <v>11</v>
      </c>
      <c r="C250" s="70">
        <f>'Planteavl,2018'!K10</f>
        <v>11.27</v>
      </c>
      <c r="D250" s="73"/>
      <c r="E250" s="73"/>
      <c r="F250" s="73"/>
      <c r="G250" s="73"/>
      <c r="H250" s="73"/>
      <c r="I250" s="73"/>
      <c r="J250" s="73"/>
      <c r="K250" s="73"/>
      <c r="L250" s="73"/>
      <c r="M250" s="73"/>
      <c r="N250" s="73"/>
      <c r="O250" s="73"/>
      <c r="P250" s="73"/>
      <c r="Q250" s="73"/>
      <c r="R250" s="73"/>
      <c r="S250" s="73"/>
    </row>
    <row r="251" spans="1:19" ht="15" customHeight="1" x14ac:dyDescent="0.25">
      <c r="A251" s="73"/>
      <c r="B251" s="77" t="s">
        <v>12</v>
      </c>
      <c r="C251" s="70">
        <f>'Planteavl,2018'!L10</f>
        <v>1332.2199999999998</v>
      </c>
      <c r="D251" s="73"/>
      <c r="E251" s="73"/>
      <c r="F251" s="73"/>
      <c r="G251" s="73"/>
      <c r="H251" s="73"/>
      <c r="I251" s="73"/>
      <c r="J251" s="73"/>
      <c r="K251" s="73"/>
      <c r="L251" s="73"/>
      <c r="M251" s="73"/>
      <c r="N251" s="73"/>
      <c r="O251" s="73"/>
      <c r="P251" s="73"/>
      <c r="Q251" s="73"/>
      <c r="R251" s="73"/>
      <c r="S251" s="73"/>
    </row>
    <row r="252" spans="1:19" ht="15" customHeight="1" x14ac:dyDescent="0.25">
      <c r="A252" s="73"/>
      <c r="B252" s="77" t="s">
        <v>13</v>
      </c>
      <c r="C252" s="70">
        <f>'Planteavl,2018'!M10</f>
        <v>60.96</v>
      </c>
      <c r="D252" s="73"/>
      <c r="E252" s="73"/>
      <c r="F252" s="73"/>
      <c r="G252" s="73"/>
      <c r="H252" s="73"/>
      <c r="I252" s="73"/>
      <c r="J252" s="73"/>
      <c r="K252" s="73"/>
      <c r="L252" s="73"/>
      <c r="M252" s="73"/>
      <c r="N252" s="73"/>
      <c r="O252" s="73"/>
      <c r="P252" s="73"/>
      <c r="Q252" s="73"/>
      <c r="R252" s="73"/>
      <c r="S252" s="73"/>
    </row>
    <row r="253" spans="1:19" ht="15" customHeight="1" x14ac:dyDescent="0.25">
      <c r="A253" s="73"/>
      <c r="B253" s="77" t="s">
        <v>14</v>
      </c>
      <c r="C253" s="70">
        <f>'Planteavl,2018'!N10</f>
        <v>1239.0899999999999</v>
      </c>
      <c r="D253" s="73"/>
      <c r="E253" s="73"/>
      <c r="F253" s="73"/>
      <c r="G253" s="73"/>
      <c r="H253" s="73"/>
      <c r="I253" s="73"/>
      <c r="J253" s="73"/>
      <c r="K253" s="73"/>
      <c r="L253" s="73"/>
      <c r="M253" s="73"/>
      <c r="N253" s="73"/>
      <c r="O253" s="73"/>
      <c r="P253" s="73"/>
      <c r="Q253" s="73"/>
      <c r="R253" s="73"/>
      <c r="S253" s="73"/>
    </row>
    <row r="254" spans="1:19" ht="15" customHeight="1" x14ac:dyDescent="0.25">
      <c r="A254" s="73"/>
      <c r="B254" s="77" t="s">
        <v>15</v>
      </c>
      <c r="C254" s="70">
        <f>'Planteavl,2018'!O10</f>
        <v>4689.96</v>
      </c>
      <c r="D254" s="73"/>
      <c r="E254" s="73"/>
      <c r="F254" s="73"/>
      <c r="G254" s="73"/>
      <c r="H254" s="73"/>
      <c r="I254" s="73"/>
      <c r="J254" s="73"/>
      <c r="K254" s="73"/>
      <c r="L254" s="73"/>
      <c r="M254" s="73"/>
      <c r="N254" s="73"/>
      <c r="O254" s="73"/>
      <c r="P254" s="73"/>
      <c r="Q254" s="73"/>
      <c r="R254" s="73"/>
      <c r="S254" s="73"/>
    </row>
    <row r="255" spans="1:19" ht="15" customHeight="1" x14ac:dyDescent="0.25">
      <c r="A255" s="73"/>
      <c r="B255" s="77" t="s">
        <v>16</v>
      </c>
      <c r="C255" s="70">
        <f>'Planteavl,2018'!P10</f>
        <v>3237.8900000000003</v>
      </c>
      <c r="D255" s="73"/>
      <c r="E255" s="73"/>
      <c r="F255" s="73"/>
      <c r="G255" s="73"/>
      <c r="H255" s="73"/>
      <c r="I255" s="73"/>
      <c r="J255" s="73"/>
      <c r="K255" s="73"/>
      <c r="L255" s="73"/>
      <c r="M255" s="73"/>
      <c r="N255" s="73"/>
      <c r="O255" s="73"/>
      <c r="P255" s="73"/>
      <c r="Q255" s="73"/>
      <c r="R255" s="73"/>
      <c r="S255" s="73"/>
    </row>
    <row r="256" spans="1:19" ht="15" customHeight="1" thickBot="1" x14ac:dyDescent="0.3">
      <c r="A256" s="73"/>
      <c r="B256" s="198" t="s">
        <v>17</v>
      </c>
      <c r="C256" s="78">
        <f>'Planteavl,2018'!Q10</f>
        <v>4070.82</v>
      </c>
      <c r="D256" s="73"/>
      <c r="E256" s="73"/>
      <c r="F256" s="73"/>
      <c r="G256" s="73"/>
      <c r="H256" s="73"/>
      <c r="I256" s="73"/>
      <c r="J256" s="73"/>
      <c r="K256" s="73"/>
      <c r="L256" s="73"/>
      <c r="M256" s="73"/>
      <c r="N256" s="73"/>
      <c r="O256" s="73"/>
      <c r="P256" s="73"/>
      <c r="Q256" s="73"/>
      <c r="R256" s="73"/>
      <c r="S256" s="73"/>
    </row>
    <row r="257" spans="1:19" ht="15" customHeight="1" thickBot="1" x14ac:dyDescent="0.3">
      <c r="A257" s="73"/>
      <c r="B257" s="459" t="s">
        <v>428</v>
      </c>
      <c r="C257" s="460">
        <f>SUM(C241:C256)-C254-C255</f>
        <v>39765.51999999999</v>
      </c>
      <c r="D257" s="73"/>
      <c r="E257" s="73"/>
      <c r="F257" s="73"/>
      <c r="G257" s="73"/>
      <c r="H257" s="73"/>
      <c r="I257" s="73"/>
      <c r="J257" s="73"/>
      <c r="K257" s="73"/>
      <c r="L257" s="73"/>
      <c r="M257" s="73"/>
      <c r="N257" s="73"/>
      <c r="O257" s="73"/>
      <c r="P257" s="73"/>
      <c r="Q257" s="73"/>
      <c r="R257" s="73"/>
      <c r="S257" s="73"/>
    </row>
    <row r="258" spans="1:19" ht="15" customHeight="1" x14ac:dyDescent="0.4">
      <c r="A258" s="73"/>
      <c r="B258" s="457"/>
      <c r="C258" s="73"/>
      <c r="D258" s="73"/>
      <c r="E258" s="73"/>
      <c r="F258" s="73"/>
      <c r="G258" s="73"/>
      <c r="H258" s="73"/>
      <c r="I258" s="73"/>
      <c r="J258" s="73"/>
      <c r="K258" s="73"/>
      <c r="L258" s="73"/>
      <c r="M258" s="73"/>
      <c r="N258" s="73"/>
      <c r="O258" s="73"/>
      <c r="P258" s="73"/>
      <c r="Q258" s="73"/>
      <c r="R258" s="73"/>
      <c r="S258" s="73"/>
    </row>
    <row r="259" spans="1:19" ht="15" customHeight="1" x14ac:dyDescent="0.4">
      <c r="A259" s="73"/>
      <c r="B259" s="457"/>
      <c r="C259" s="73"/>
      <c r="D259" s="73"/>
      <c r="E259" s="73"/>
      <c r="F259" s="73"/>
      <c r="G259" s="73"/>
      <c r="H259" s="73"/>
      <c r="I259" s="73"/>
      <c r="J259" s="73"/>
      <c r="K259" s="73"/>
      <c r="L259" s="73"/>
      <c r="M259" s="73"/>
      <c r="N259" s="73"/>
      <c r="O259" s="73"/>
      <c r="P259" s="73"/>
      <c r="Q259" s="73"/>
      <c r="R259" s="73"/>
      <c r="S259" s="73"/>
    </row>
    <row r="260" spans="1:19" ht="15" customHeight="1" x14ac:dyDescent="0.4">
      <c r="A260" s="73"/>
      <c r="B260" s="457"/>
      <c r="C260" s="73"/>
      <c r="D260" s="73"/>
      <c r="E260" s="73"/>
      <c r="F260" s="73"/>
      <c r="G260" s="73"/>
      <c r="H260" s="73"/>
      <c r="I260" s="73"/>
      <c r="J260" s="73"/>
      <c r="K260" s="73"/>
      <c r="L260" s="73"/>
      <c r="M260" s="73"/>
      <c r="N260" s="73"/>
      <c r="O260" s="73"/>
      <c r="P260" s="73"/>
      <c r="Q260" s="73"/>
      <c r="R260" s="73"/>
      <c r="S260" s="73"/>
    </row>
    <row r="261" spans="1:19" ht="15" customHeight="1" x14ac:dyDescent="0.4">
      <c r="A261" s="73"/>
      <c r="B261" s="457"/>
      <c r="C261" s="73"/>
      <c r="D261" s="73"/>
      <c r="E261" s="73"/>
      <c r="F261" s="73"/>
      <c r="G261" s="73"/>
      <c r="H261" s="73"/>
      <c r="I261" s="73"/>
      <c r="J261" s="73"/>
      <c r="K261" s="73"/>
      <c r="L261" s="73"/>
      <c r="M261" s="73"/>
      <c r="N261" s="73"/>
      <c r="O261" s="73"/>
      <c r="P261" s="73"/>
      <c r="Q261" s="73"/>
      <c r="R261" s="73"/>
      <c r="S261" s="73"/>
    </row>
    <row r="262" spans="1:19" ht="15" customHeight="1" x14ac:dyDescent="0.4">
      <c r="A262" s="73"/>
      <c r="B262" s="457"/>
      <c r="C262" s="73"/>
      <c r="D262" s="73"/>
      <c r="E262" s="73"/>
      <c r="F262" s="73"/>
      <c r="G262" s="73"/>
      <c r="H262" s="73"/>
      <c r="I262" s="73"/>
      <c r="J262" s="73"/>
      <c r="K262" s="73"/>
      <c r="L262" s="73"/>
      <c r="M262" s="73"/>
      <c r="N262" s="73"/>
      <c r="O262" s="73"/>
      <c r="P262" s="73"/>
      <c r="Q262" s="73"/>
      <c r="R262" s="73"/>
      <c r="S262" s="73"/>
    </row>
    <row r="263" spans="1:19" ht="15" customHeight="1" x14ac:dyDescent="0.4">
      <c r="A263" s="73"/>
      <c r="B263" s="457"/>
      <c r="C263" s="73"/>
      <c r="D263" s="73"/>
      <c r="E263" s="73"/>
      <c r="F263" s="73"/>
      <c r="G263" s="73"/>
      <c r="H263" s="73"/>
      <c r="I263" s="73"/>
      <c r="J263" s="73"/>
      <c r="K263" s="73"/>
      <c r="L263" s="73"/>
      <c r="M263" s="73"/>
      <c r="N263" s="73"/>
      <c r="O263" s="73"/>
      <c r="P263" s="73"/>
      <c r="Q263" s="73"/>
      <c r="R263" s="73"/>
      <c r="S263" s="73"/>
    </row>
    <row r="264" spans="1:19" ht="15" customHeight="1" x14ac:dyDescent="0.4">
      <c r="A264" s="73"/>
      <c r="B264" s="457"/>
      <c r="C264" s="73"/>
      <c r="D264" s="73"/>
      <c r="E264" s="73"/>
      <c r="F264" s="73"/>
      <c r="G264" s="73"/>
      <c r="H264" s="73"/>
      <c r="I264" s="73"/>
      <c r="J264" s="73"/>
      <c r="K264" s="73"/>
      <c r="L264" s="73"/>
      <c r="M264" s="73"/>
      <c r="N264" s="73"/>
      <c r="O264" s="73"/>
      <c r="P264" s="73"/>
      <c r="Q264" s="73"/>
      <c r="R264" s="73"/>
      <c r="S264" s="73"/>
    </row>
    <row r="265" spans="1:19" ht="15" customHeight="1" x14ac:dyDescent="0.4">
      <c r="A265" s="73"/>
      <c r="B265" s="457"/>
      <c r="C265" s="73"/>
      <c r="D265" s="73"/>
      <c r="E265" s="73"/>
      <c r="F265" s="73"/>
      <c r="G265" s="73"/>
      <c r="H265" s="73"/>
      <c r="I265" s="73"/>
      <c r="J265" s="73"/>
      <c r="K265" s="73"/>
      <c r="L265" s="73"/>
      <c r="M265" s="73"/>
      <c r="N265" s="73"/>
      <c r="O265" s="73"/>
      <c r="P265" s="73"/>
      <c r="Q265" s="73"/>
      <c r="R265" s="73"/>
      <c r="S265" s="73"/>
    </row>
    <row r="266" spans="1:19" ht="15" customHeight="1" x14ac:dyDescent="0.4">
      <c r="A266" s="73"/>
      <c r="B266" s="457"/>
      <c r="C266" s="73"/>
      <c r="D266" s="73"/>
      <c r="E266" s="73"/>
      <c r="F266" s="73"/>
      <c r="G266" s="73"/>
      <c r="H266" s="73"/>
      <c r="I266" s="73"/>
      <c r="J266" s="73"/>
      <c r="K266" s="73"/>
      <c r="L266" s="73"/>
      <c r="M266" s="73"/>
      <c r="N266" s="73"/>
      <c r="O266" s="73"/>
      <c r="P266" s="73"/>
      <c r="Q266" s="73"/>
      <c r="R266" s="73"/>
      <c r="S266" s="73"/>
    </row>
    <row r="267" spans="1:19" ht="15" customHeight="1" x14ac:dyDescent="0.4">
      <c r="A267" s="73"/>
      <c r="B267" s="457"/>
      <c r="C267" s="73"/>
      <c r="D267" s="73"/>
      <c r="E267" s="73"/>
      <c r="F267" s="73"/>
      <c r="G267" s="73"/>
      <c r="H267" s="73"/>
      <c r="I267" s="73"/>
      <c r="J267" s="73"/>
      <c r="K267" s="73"/>
      <c r="L267" s="73"/>
      <c r="M267" s="73"/>
      <c r="N267" s="73"/>
      <c r="O267" s="73"/>
      <c r="P267" s="73"/>
      <c r="Q267" s="73"/>
      <c r="R267" s="73"/>
      <c r="S267" s="73"/>
    </row>
    <row r="268" spans="1:19" ht="45" customHeight="1" x14ac:dyDescent="0.35">
      <c r="A268" s="73"/>
      <c r="B268" s="467" t="s">
        <v>448</v>
      </c>
      <c r="C268" s="470" t="s">
        <v>447</v>
      </c>
      <c r="D268" s="470" t="s">
        <v>461</v>
      </c>
      <c r="E268" s="73"/>
      <c r="F268" s="73"/>
      <c r="G268" s="73"/>
      <c r="H268" s="73"/>
      <c r="I268" s="73"/>
      <c r="J268" s="73"/>
      <c r="K268" s="73"/>
      <c r="L268" s="73"/>
      <c r="M268" s="73"/>
      <c r="N268" s="73"/>
      <c r="O268" s="73"/>
      <c r="P268" s="73"/>
      <c r="Q268" s="73"/>
      <c r="R268" s="73"/>
      <c r="S268" s="73"/>
    </row>
    <row r="269" spans="1:19" ht="15" customHeight="1" x14ac:dyDescent="0.25">
      <c r="A269" s="73"/>
      <c r="B269" s="465" t="s">
        <v>28</v>
      </c>
      <c r="C269" s="114">
        <f>'Planteavl,2018'!$AE$10</f>
        <v>10046.587432728156</v>
      </c>
      <c r="D269" s="114"/>
      <c r="E269" s="73"/>
      <c r="F269" s="73"/>
      <c r="G269" s="73"/>
      <c r="H269" s="73"/>
      <c r="I269" s="73"/>
      <c r="J269" s="73"/>
      <c r="K269" s="73"/>
      <c r="L269" s="73"/>
      <c r="M269" s="73"/>
      <c r="N269" s="73"/>
      <c r="O269" s="73"/>
      <c r="P269" s="73"/>
      <c r="Q269" s="73"/>
      <c r="R269" s="73"/>
      <c r="S269" s="73"/>
    </row>
    <row r="270" spans="1:19" ht="15" customHeight="1" x14ac:dyDescent="0.25">
      <c r="A270" s="73"/>
      <c r="B270" s="465" t="s">
        <v>29</v>
      </c>
      <c r="C270" s="114"/>
      <c r="D270" s="114">
        <f>'Planteavl,2018'!$AE$11</f>
        <v>0</v>
      </c>
      <c r="E270" s="73"/>
      <c r="F270" s="73"/>
      <c r="G270" s="73"/>
      <c r="H270" s="73"/>
      <c r="I270" s="73"/>
      <c r="J270" s="73"/>
      <c r="K270" s="73"/>
      <c r="L270" s="73"/>
      <c r="M270" s="73"/>
      <c r="N270" s="73"/>
      <c r="O270" s="73"/>
      <c r="P270" s="73"/>
      <c r="Q270" s="73"/>
      <c r="R270" s="73"/>
      <c r="S270" s="73"/>
    </row>
    <row r="271" spans="1:19" ht="15" customHeight="1" x14ac:dyDescent="0.25">
      <c r="A271" s="73"/>
      <c r="B271" s="465" t="s">
        <v>438</v>
      </c>
      <c r="C271" s="114">
        <f>'Planteavl,2018'!$AE$13</f>
        <v>16074.053482142857</v>
      </c>
      <c r="D271" s="114"/>
      <c r="E271" s="73"/>
      <c r="F271" s="73"/>
      <c r="G271" s="73"/>
      <c r="H271" s="73"/>
      <c r="I271" s="73"/>
      <c r="J271" s="73"/>
      <c r="K271" s="73"/>
      <c r="L271" s="73"/>
      <c r="M271" s="73"/>
      <c r="N271" s="73"/>
      <c r="O271" s="73"/>
      <c r="P271" s="73"/>
      <c r="Q271" s="73"/>
      <c r="R271" s="73"/>
      <c r="S271" s="73"/>
    </row>
    <row r="272" spans="1:19" ht="15" customHeight="1" x14ac:dyDescent="0.25">
      <c r="A272" s="73"/>
      <c r="B272" s="465" t="s">
        <v>439</v>
      </c>
      <c r="C272" s="114"/>
      <c r="D272" s="114">
        <f>-'Planteavl,2018'!$AE$14</f>
        <v>2680.2847971428573</v>
      </c>
      <c r="E272" s="73"/>
      <c r="F272" s="73"/>
      <c r="G272" s="73"/>
      <c r="H272" s="73"/>
      <c r="I272" s="73"/>
      <c r="J272" s="73"/>
      <c r="K272" s="73"/>
      <c r="L272" s="73"/>
      <c r="M272" s="73"/>
      <c r="N272" s="73"/>
      <c r="O272" s="73"/>
      <c r="P272" s="73"/>
      <c r="Q272" s="73"/>
      <c r="R272" s="73"/>
      <c r="S272" s="73"/>
    </row>
    <row r="273" spans="1:19" ht="15" customHeight="1" x14ac:dyDescent="0.25">
      <c r="A273" s="73"/>
      <c r="B273" s="465" t="s">
        <v>440</v>
      </c>
      <c r="C273" s="114">
        <f>'Planteavl,2018'!$AE$15</f>
        <v>19.499417142857141</v>
      </c>
      <c r="D273" s="114"/>
      <c r="E273" s="73"/>
      <c r="F273" s="73"/>
      <c r="G273" s="73"/>
      <c r="H273" s="73"/>
      <c r="I273" s="73"/>
      <c r="J273" s="73"/>
      <c r="K273" s="73"/>
      <c r="L273" s="73"/>
      <c r="M273" s="73"/>
      <c r="N273" s="73"/>
      <c r="O273" s="73"/>
      <c r="P273" s="73"/>
      <c r="Q273" s="73"/>
      <c r="R273" s="73"/>
      <c r="S273" s="73"/>
    </row>
    <row r="274" spans="1:19" ht="15" customHeight="1" x14ac:dyDescent="0.25">
      <c r="A274" s="73"/>
      <c r="B274" s="465" t="s">
        <v>441</v>
      </c>
      <c r="C274" s="114">
        <f>'Planteavl,2018'!$AE$16</f>
        <v>24399.413688571425</v>
      </c>
      <c r="D274" s="114"/>
      <c r="E274" s="73"/>
      <c r="F274" s="73"/>
      <c r="G274" s="73"/>
      <c r="H274" s="73"/>
      <c r="I274" s="73"/>
      <c r="J274" s="73"/>
      <c r="K274" s="73"/>
      <c r="L274" s="73"/>
      <c r="M274" s="73"/>
      <c r="N274" s="73"/>
      <c r="O274" s="73"/>
      <c r="P274" s="73"/>
      <c r="Q274" s="73"/>
      <c r="R274" s="73"/>
      <c r="S274" s="73"/>
    </row>
    <row r="275" spans="1:19" ht="15" customHeight="1" x14ac:dyDescent="0.25">
      <c r="A275" s="73"/>
      <c r="B275" s="465" t="s">
        <v>442</v>
      </c>
      <c r="C275" s="114">
        <f>'Planteavl,2018'!$AE$17</f>
        <v>15569.329285714288</v>
      </c>
      <c r="D275" s="114"/>
      <c r="E275" s="73"/>
      <c r="F275" s="73"/>
      <c r="G275" s="73"/>
      <c r="H275" s="73"/>
      <c r="I275" s="73"/>
      <c r="J275" s="73"/>
      <c r="K275" s="73"/>
      <c r="L275" s="73"/>
      <c r="M275" s="73"/>
      <c r="N275" s="73"/>
      <c r="O275" s="73"/>
      <c r="P275" s="73"/>
      <c r="Q275" s="73"/>
      <c r="R275" s="73"/>
      <c r="S275" s="73"/>
    </row>
    <row r="276" spans="1:19" ht="15" customHeight="1" x14ac:dyDescent="0.25">
      <c r="A276" s="73"/>
      <c r="B276" s="465" t="s">
        <v>443</v>
      </c>
      <c r="C276" s="114">
        <f>'Planteavl,2018'!$AE$18</f>
        <v>1483.7362149731812</v>
      </c>
      <c r="D276" s="114"/>
      <c r="E276" s="73"/>
      <c r="F276" s="73"/>
      <c r="G276" s="73"/>
      <c r="H276" s="73"/>
      <c r="I276" s="73"/>
      <c r="J276" s="73"/>
      <c r="K276" s="73"/>
      <c r="L276" s="73"/>
      <c r="M276" s="73"/>
      <c r="N276" s="73"/>
      <c r="O276" s="73"/>
      <c r="P276" s="73"/>
      <c r="Q276" s="73"/>
      <c r="R276" s="73"/>
      <c r="S276" s="73"/>
    </row>
    <row r="277" spans="1:19" ht="15" customHeight="1" x14ac:dyDescent="0.25">
      <c r="A277" s="73"/>
      <c r="B277" s="465" t="s">
        <v>73</v>
      </c>
      <c r="C277" s="114">
        <f>'Planteavl,2018'!$AE$19</f>
        <v>2998.9625914285716</v>
      </c>
      <c r="D277" s="114"/>
      <c r="E277" s="73"/>
      <c r="F277" s="73"/>
      <c r="G277" s="73"/>
      <c r="H277" s="73"/>
      <c r="I277" s="73"/>
      <c r="J277" s="73"/>
      <c r="K277" s="73"/>
      <c r="L277" s="73"/>
      <c r="M277" s="73"/>
      <c r="N277" s="73"/>
      <c r="O277" s="73"/>
      <c r="P277" s="73"/>
      <c r="Q277" s="73"/>
      <c r="R277" s="73"/>
      <c r="S277" s="73"/>
    </row>
    <row r="278" spans="1:19" ht="15" customHeight="1" x14ac:dyDescent="0.25">
      <c r="A278" s="73"/>
      <c r="B278" s="465" t="s">
        <v>444</v>
      </c>
      <c r="C278" s="114">
        <f>'Planteavl,2018'!$AE$20</f>
        <v>7494.1401857142864</v>
      </c>
      <c r="D278" s="114"/>
      <c r="E278" s="73"/>
      <c r="F278" s="73"/>
      <c r="G278" s="73"/>
      <c r="H278" s="73"/>
      <c r="I278" s="73"/>
      <c r="J278" s="73"/>
      <c r="K278" s="73"/>
      <c r="L278" s="73"/>
      <c r="M278" s="73"/>
      <c r="N278" s="73"/>
      <c r="O278" s="73"/>
      <c r="P278" s="73"/>
      <c r="Q278" s="73"/>
      <c r="R278" s="73"/>
      <c r="S278" s="73"/>
    </row>
    <row r="279" spans="1:19" ht="15" customHeight="1" x14ac:dyDescent="0.25">
      <c r="A279" s="73"/>
      <c r="B279" s="465" t="s">
        <v>283</v>
      </c>
      <c r="C279" s="114">
        <f>'Planteavl,2018'!$AE$21</f>
        <v>4346.999162571944</v>
      </c>
      <c r="D279" s="114"/>
      <c r="E279" s="73"/>
      <c r="F279" s="73"/>
      <c r="G279" s="73"/>
      <c r="H279" s="73"/>
      <c r="I279" s="73"/>
      <c r="J279" s="73"/>
      <c r="K279" s="73"/>
      <c r="L279" s="73"/>
      <c r="M279" s="73"/>
      <c r="N279" s="73"/>
      <c r="O279" s="73"/>
      <c r="P279" s="73"/>
      <c r="Q279" s="73"/>
      <c r="R279" s="73"/>
      <c r="S279" s="73"/>
    </row>
    <row r="280" spans="1:19" ht="15" customHeight="1" x14ac:dyDescent="0.25">
      <c r="A280" s="73"/>
      <c r="B280" s="465" t="s">
        <v>281</v>
      </c>
      <c r="C280" s="114">
        <f>'Planteavl,2018'!$AE$22</f>
        <v>25.243469367417642</v>
      </c>
      <c r="D280" s="114"/>
      <c r="E280" s="73"/>
      <c r="F280" s="73"/>
      <c r="G280" s="73"/>
      <c r="H280" s="73"/>
      <c r="I280" s="73"/>
      <c r="J280" s="73"/>
      <c r="K280" s="73"/>
      <c r="L280" s="73"/>
      <c r="M280" s="73"/>
      <c r="N280" s="73"/>
      <c r="O280" s="73"/>
      <c r="P280" s="73"/>
      <c r="Q280" s="73"/>
      <c r="R280" s="73"/>
      <c r="S280" s="73"/>
    </row>
    <row r="281" spans="1:19" ht="15" customHeight="1" x14ac:dyDescent="0.35">
      <c r="A281" s="73"/>
      <c r="B281" s="465" t="s">
        <v>282</v>
      </c>
      <c r="C281" s="114">
        <f>'Planteavl,2018'!$AE$23</f>
        <v>52.014832933389499</v>
      </c>
      <c r="D281" s="114"/>
      <c r="E281" s="73"/>
      <c r="F281" s="73"/>
      <c r="G281" s="73"/>
      <c r="H281" s="73"/>
      <c r="I281" s="73"/>
      <c r="J281" s="73"/>
      <c r="K281" s="73"/>
      <c r="L281" s="73"/>
      <c r="M281" s="73"/>
      <c r="N281" s="73"/>
      <c r="O281" s="73"/>
      <c r="P281" s="73"/>
      <c r="Q281" s="73"/>
      <c r="R281" s="73"/>
      <c r="S281" s="73"/>
    </row>
    <row r="282" spans="1:19" ht="15" customHeight="1" x14ac:dyDescent="0.4">
      <c r="A282" s="73"/>
      <c r="B282" s="457"/>
      <c r="C282" s="73"/>
      <c r="D282" s="73"/>
      <c r="E282" s="73"/>
      <c r="F282" s="73"/>
      <c r="G282" s="73"/>
      <c r="H282" s="73"/>
      <c r="I282" s="73"/>
      <c r="J282" s="73"/>
      <c r="K282" s="73"/>
      <c r="L282" s="73"/>
      <c r="M282" s="73"/>
      <c r="N282" s="73"/>
      <c r="O282" s="73"/>
      <c r="P282" s="73"/>
      <c r="Q282" s="73"/>
      <c r="R282" s="73"/>
      <c r="S282" s="73"/>
    </row>
    <row r="283" spans="1:19" ht="15" customHeight="1" x14ac:dyDescent="0.4">
      <c r="A283" s="73"/>
      <c r="B283" s="457"/>
      <c r="C283" s="73"/>
      <c r="D283" s="73"/>
      <c r="E283" s="73"/>
      <c r="F283" s="73"/>
      <c r="G283" s="73"/>
      <c r="H283" s="73"/>
      <c r="I283" s="73"/>
      <c r="J283" s="73"/>
      <c r="K283" s="73"/>
      <c r="L283" s="73"/>
      <c r="M283" s="73"/>
      <c r="N283" s="73"/>
      <c r="O283" s="73"/>
      <c r="P283" s="73"/>
      <c r="Q283" s="73"/>
      <c r="R283" s="73"/>
      <c r="S283" s="73"/>
    </row>
    <row r="284" spans="1:19" ht="15" customHeight="1" x14ac:dyDescent="0.4">
      <c r="A284" s="73"/>
      <c r="B284" s="457"/>
      <c r="C284" s="73"/>
      <c r="D284" s="73"/>
      <c r="E284" s="73"/>
      <c r="F284" s="73"/>
      <c r="G284" s="73"/>
      <c r="H284" s="73"/>
      <c r="I284" s="73"/>
      <c r="J284" s="73"/>
      <c r="K284" s="73"/>
      <c r="L284" s="73"/>
      <c r="M284" s="73"/>
      <c r="N284" s="73"/>
      <c r="O284" s="73"/>
      <c r="P284" s="73"/>
      <c r="Q284" s="73"/>
      <c r="R284" s="73"/>
      <c r="S284" s="73"/>
    </row>
    <row r="285" spans="1:19" ht="15" customHeight="1" x14ac:dyDescent="0.4">
      <c r="A285" s="73"/>
      <c r="B285" s="457"/>
      <c r="C285" s="73"/>
      <c r="D285" s="73"/>
      <c r="E285" s="73"/>
      <c r="F285" s="73"/>
      <c r="G285" s="73"/>
      <c r="H285" s="73"/>
      <c r="I285" s="73"/>
      <c r="J285" s="73"/>
      <c r="K285" s="73"/>
      <c r="L285" s="73"/>
      <c r="M285" s="73"/>
      <c r="N285" s="73"/>
      <c r="O285" s="73"/>
      <c r="P285" s="73"/>
      <c r="Q285" s="73"/>
      <c r="R285" s="73"/>
      <c r="S285" s="73"/>
    </row>
    <row r="286" spans="1:19" ht="15" customHeight="1" x14ac:dyDescent="0.4">
      <c r="A286" s="73"/>
      <c r="B286" s="457"/>
      <c r="C286" s="73"/>
      <c r="D286" s="73"/>
      <c r="E286" s="73"/>
      <c r="F286" s="73"/>
      <c r="G286" s="73"/>
      <c r="H286" s="73"/>
      <c r="I286" s="73"/>
      <c r="J286" s="73"/>
      <c r="K286" s="73"/>
      <c r="L286" s="73"/>
      <c r="M286" s="73"/>
      <c r="N286" s="73"/>
      <c r="O286" s="73"/>
      <c r="P286" s="73"/>
      <c r="Q286" s="73"/>
      <c r="R286" s="73"/>
      <c r="S286" s="73"/>
    </row>
    <row r="287" spans="1:19" ht="15" customHeight="1" x14ac:dyDescent="0.4">
      <c r="A287" s="73"/>
      <c r="B287" s="457"/>
      <c r="C287" s="73"/>
      <c r="D287" s="73"/>
      <c r="E287" s="73"/>
      <c r="F287" s="73"/>
      <c r="G287" s="73"/>
      <c r="H287" s="73"/>
      <c r="I287" s="73"/>
      <c r="J287" s="73"/>
      <c r="K287" s="73"/>
      <c r="L287" s="73"/>
      <c r="M287" s="73"/>
      <c r="N287" s="73"/>
      <c r="O287" s="73"/>
      <c r="P287" s="73"/>
      <c r="Q287" s="73"/>
      <c r="R287" s="73"/>
      <c r="S287" s="73"/>
    </row>
    <row r="288" spans="1:19" ht="22.8" x14ac:dyDescent="0.4">
      <c r="A288" s="64"/>
      <c r="B288" s="65" t="s">
        <v>237</v>
      </c>
      <c r="C288" s="64"/>
      <c r="D288" s="64"/>
      <c r="E288" s="64"/>
      <c r="F288" s="64"/>
      <c r="G288" s="64"/>
      <c r="H288" s="64"/>
      <c r="I288" s="64"/>
      <c r="J288" s="64"/>
      <c r="K288" s="64"/>
      <c r="L288" s="64"/>
      <c r="M288" s="64"/>
      <c r="N288" s="64"/>
      <c r="O288" s="64"/>
      <c r="P288" s="64"/>
      <c r="Q288" s="64"/>
      <c r="R288" s="64"/>
      <c r="S288" s="64"/>
    </row>
    <row r="290" spans="2:6" ht="14.4" thickBot="1" x14ac:dyDescent="0.3"/>
    <row r="291" spans="2:6" ht="37.5" customHeight="1" thickBot="1" x14ac:dyDescent="0.4">
      <c r="B291" s="165" t="s">
        <v>463</v>
      </c>
      <c r="C291" s="166">
        <v>2018</v>
      </c>
      <c r="D291" s="73"/>
    </row>
    <row r="292" spans="2:6" ht="14.4" x14ac:dyDescent="0.3">
      <c r="B292" s="82" t="s">
        <v>271</v>
      </c>
      <c r="C292" s="83">
        <f>SUM('Industrielle processer 2018'!N11:N19)</f>
        <v>310.51015558864384</v>
      </c>
      <c r="D292" s="73"/>
    </row>
    <row r="293" spans="2:6" ht="14.4" x14ac:dyDescent="0.3">
      <c r="B293" s="84" t="s">
        <v>240</v>
      </c>
      <c r="C293" s="431">
        <f>SUM('Industrielle processer 2018'!N20:N23)</f>
        <v>20.000165345766415</v>
      </c>
      <c r="D293" s="73"/>
    </row>
    <row r="294" spans="2:6" ht="14.4" x14ac:dyDescent="0.3">
      <c r="B294" s="84" t="s">
        <v>241</v>
      </c>
      <c r="C294" s="85">
        <f>SUM('Industrielle processer 2018'!N24)</f>
        <v>2.0236254987284741</v>
      </c>
      <c r="D294" s="73"/>
      <c r="E294" s="75"/>
      <c r="F294" s="75"/>
    </row>
    <row r="295" spans="2:6" ht="14.4" x14ac:dyDescent="0.3">
      <c r="B295" s="84" t="s">
        <v>242</v>
      </c>
      <c r="C295" s="431">
        <f>SUM('Industrielle processer 2018'!N25:N30)</f>
        <v>2688.1636631006982</v>
      </c>
      <c r="D295" s="73"/>
      <c r="E295" s="74"/>
      <c r="F295" s="74"/>
    </row>
    <row r="296" spans="2:6" ht="14.4" x14ac:dyDescent="0.3">
      <c r="B296" s="84" t="s">
        <v>243</v>
      </c>
      <c r="C296" s="431">
        <f>SUM('Industrielle processer 2018'!N31:N32)</f>
        <v>0</v>
      </c>
      <c r="D296" s="73"/>
    </row>
    <row r="297" spans="2:6" ht="14.4" x14ac:dyDescent="0.3">
      <c r="B297" s="84" t="s">
        <v>244</v>
      </c>
      <c r="C297" s="431">
        <f>SUM('Industrielle processer 2018'!N33:N35)</f>
        <v>9864.3311290101738</v>
      </c>
      <c r="D297" s="73"/>
    </row>
    <row r="298" spans="2:6" ht="15" thickBot="1" x14ac:dyDescent="0.35">
      <c r="B298" s="86" t="s">
        <v>245</v>
      </c>
      <c r="C298" s="461">
        <f>SUM('Industrielle processer 2018'!N36:N41)</f>
        <v>387.3661107039166</v>
      </c>
      <c r="D298" s="73"/>
    </row>
    <row r="299" spans="2:6" ht="15" thickBot="1" x14ac:dyDescent="0.35">
      <c r="B299" s="87" t="s">
        <v>272</v>
      </c>
      <c r="C299" s="88">
        <f>SUM(C292:C298)</f>
        <v>13272.394849247927</v>
      </c>
      <c r="D299" s="73"/>
    </row>
    <row r="300" spans="2:6" x14ac:dyDescent="0.25">
      <c r="B300" s="73"/>
      <c r="C300" s="73"/>
      <c r="D300" s="73"/>
    </row>
    <row r="301" spans="2:6" x14ac:dyDescent="0.25">
      <c r="B301" s="73"/>
      <c r="C301" s="73"/>
      <c r="D301" s="73"/>
    </row>
    <row r="302" spans="2:6" x14ac:dyDescent="0.25">
      <c r="B302" s="73"/>
      <c r="C302" s="73"/>
      <c r="D302" s="73"/>
    </row>
    <row r="303" spans="2:6" x14ac:dyDescent="0.25">
      <c r="B303" s="73"/>
      <c r="C303" s="73"/>
      <c r="D303" s="73"/>
    </row>
    <row r="304" spans="2:6" x14ac:dyDescent="0.25">
      <c r="B304" s="73"/>
      <c r="C304" s="73"/>
      <c r="D304" s="73"/>
    </row>
    <row r="305" spans="2:5" x14ac:dyDescent="0.25">
      <c r="B305" s="73"/>
      <c r="C305" s="73"/>
      <c r="D305" s="73"/>
    </row>
    <row r="306" spans="2:5" x14ac:dyDescent="0.25">
      <c r="B306" s="73"/>
      <c r="C306" s="73"/>
      <c r="D306" s="73"/>
    </row>
    <row r="307" spans="2:5" x14ac:dyDescent="0.25">
      <c r="B307" s="73"/>
      <c r="C307" s="73"/>
      <c r="D307" s="73"/>
    </row>
    <row r="308" spans="2:5" x14ac:dyDescent="0.25">
      <c r="B308" s="73"/>
      <c r="C308" s="73"/>
      <c r="D308" s="73"/>
    </row>
    <row r="309" spans="2:5" x14ac:dyDescent="0.25">
      <c r="B309" s="73"/>
      <c r="C309" s="73"/>
      <c r="D309" s="73"/>
    </row>
    <row r="310" spans="2:5" x14ac:dyDescent="0.25">
      <c r="B310" s="73"/>
      <c r="C310" s="73"/>
      <c r="D310" s="73"/>
    </row>
    <row r="311" spans="2:5" x14ac:dyDescent="0.25">
      <c r="B311" s="73"/>
      <c r="C311" s="73"/>
      <c r="D311" s="73"/>
    </row>
    <row r="312" spans="2:5" x14ac:dyDescent="0.25">
      <c r="B312" s="73"/>
      <c r="C312" s="73"/>
      <c r="D312" s="73"/>
    </row>
    <row r="313" spans="2:5" x14ac:dyDescent="0.25">
      <c r="B313" s="73"/>
      <c r="C313" s="73"/>
      <c r="D313" s="73"/>
    </row>
    <row r="314" spans="2:5" x14ac:dyDescent="0.25">
      <c r="B314" s="73"/>
      <c r="C314" s="73"/>
      <c r="D314" s="73"/>
    </row>
    <row r="315" spans="2:5" x14ac:dyDescent="0.25">
      <c r="B315" s="73"/>
      <c r="C315" s="73"/>
      <c r="D315" s="73"/>
      <c r="E315" s="73"/>
    </row>
    <row r="316" spans="2:5" x14ac:dyDescent="0.25">
      <c r="B316" s="73"/>
      <c r="C316" s="73"/>
      <c r="D316" s="73"/>
      <c r="E316" s="73"/>
    </row>
    <row r="317" spans="2:5" x14ac:dyDescent="0.25">
      <c r="B317" s="73"/>
      <c r="C317" s="73"/>
      <c r="D317" s="73"/>
      <c r="E317" s="73"/>
    </row>
    <row r="318" spans="2:5" x14ac:dyDescent="0.25">
      <c r="B318" s="73"/>
      <c r="C318" s="73"/>
      <c r="D318" s="73"/>
      <c r="E318" s="73"/>
    </row>
    <row r="319" spans="2:5" ht="14.25" customHeight="1" x14ac:dyDescent="0.25">
      <c r="B319" s="73"/>
      <c r="C319" s="73"/>
      <c r="D319" s="73"/>
      <c r="E319" s="73"/>
    </row>
    <row r="320" spans="2:5" x14ac:dyDescent="0.25">
      <c r="B320" s="73"/>
      <c r="C320" s="73"/>
      <c r="D320" s="73"/>
      <c r="E320" s="73"/>
    </row>
    <row r="321" spans="2:19" x14ac:dyDescent="0.25">
      <c r="B321" s="73"/>
      <c r="C321" s="73"/>
      <c r="D321" s="73"/>
      <c r="E321" s="73"/>
    </row>
    <row r="322" spans="2:19" x14ac:dyDescent="0.25">
      <c r="B322" s="73"/>
      <c r="C322" s="73"/>
      <c r="D322" s="73"/>
      <c r="E322" s="73"/>
    </row>
    <row r="323" spans="2:19" x14ac:dyDescent="0.25">
      <c r="B323" s="73"/>
      <c r="C323" s="73"/>
      <c r="D323" s="73"/>
      <c r="E323" s="73"/>
      <c r="F323" s="74"/>
      <c r="G323" s="74"/>
      <c r="H323" s="74"/>
      <c r="I323" s="74"/>
      <c r="J323" s="74"/>
      <c r="K323" s="74"/>
      <c r="L323" s="74"/>
      <c r="M323" s="74"/>
      <c r="N323" s="74"/>
      <c r="O323" s="74"/>
      <c r="P323" s="74"/>
      <c r="Q323" s="74"/>
      <c r="R323" s="74"/>
      <c r="S323" s="74"/>
    </row>
    <row r="324" spans="2:19" x14ac:dyDescent="0.25">
      <c r="B324" s="73"/>
      <c r="C324" s="73"/>
      <c r="D324" s="73"/>
      <c r="E324" s="73"/>
      <c r="F324" s="74"/>
      <c r="G324" s="74"/>
      <c r="H324" s="74"/>
      <c r="I324" s="74"/>
      <c r="J324" s="74"/>
      <c r="K324" s="74"/>
      <c r="L324" s="74"/>
      <c r="M324" s="74"/>
      <c r="N324" s="74"/>
      <c r="O324" s="74"/>
      <c r="P324" s="74"/>
      <c r="Q324" s="74"/>
      <c r="R324" s="74"/>
      <c r="S324" s="74"/>
    </row>
    <row r="325" spans="2:19" x14ac:dyDescent="0.25">
      <c r="B325" s="74"/>
      <c r="C325" s="74"/>
      <c r="D325" s="74"/>
      <c r="E325" s="74"/>
      <c r="F325" s="74"/>
      <c r="G325" s="74"/>
      <c r="H325" s="74"/>
      <c r="I325" s="74"/>
      <c r="J325" s="74"/>
      <c r="K325" s="74"/>
      <c r="L325" s="74"/>
      <c r="M325" s="74"/>
      <c r="N325" s="74"/>
      <c r="O325" s="74"/>
      <c r="P325" s="74"/>
      <c r="Q325" s="74"/>
      <c r="R325" s="74"/>
      <c r="S325" s="74"/>
    </row>
    <row r="326" spans="2:19" x14ac:dyDescent="0.25">
      <c r="B326" s="73"/>
      <c r="C326" s="73"/>
      <c r="D326" s="73"/>
      <c r="E326" s="73"/>
      <c r="F326" s="74"/>
      <c r="G326" s="74"/>
      <c r="H326" s="74"/>
      <c r="I326" s="73"/>
      <c r="J326" s="73"/>
      <c r="K326" s="73"/>
      <c r="L326" s="81"/>
      <c r="M326" s="74"/>
      <c r="N326" s="74"/>
      <c r="O326" s="74"/>
      <c r="P326" s="74"/>
      <c r="Q326" s="74"/>
      <c r="R326" s="74"/>
      <c r="S326" s="74"/>
    </row>
    <row r="327" spans="2:19" x14ac:dyDescent="0.25">
      <c r="B327" s="73"/>
      <c r="C327" s="73"/>
      <c r="D327" s="73"/>
      <c r="E327" s="73"/>
      <c r="I327" s="73"/>
      <c r="J327" s="73"/>
      <c r="K327" s="73"/>
      <c r="L327" s="73"/>
    </row>
    <row r="328" spans="2:19" ht="14.4" thickBot="1" x14ac:dyDescent="0.3">
      <c r="B328" s="73"/>
      <c r="C328" s="73"/>
      <c r="D328" s="73"/>
      <c r="E328" s="73"/>
      <c r="I328" s="73"/>
      <c r="J328" s="73"/>
      <c r="K328" s="73"/>
      <c r="L328" s="73"/>
    </row>
    <row r="329" spans="2:19" ht="14.4" x14ac:dyDescent="0.3">
      <c r="B329" s="594" t="s">
        <v>464</v>
      </c>
      <c r="C329" s="597">
        <v>2018</v>
      </c>
      <c r="D329" s="598"/>
      <c r="E329" s="598"/>
      <c r="F329" s="599"/>
      <c r="I329" s="73"/>
      <c r="J329" s="73"/>
      <c r="K329" s="73"/>
      <c r="L329" s="73"/>
    </row>
    <row r="330" spans="2:19" ht="16.2" thickBot="1" x14ac:dyDescent="0.4">
      <c r="B330" s="595"/>
      <c r="C330" s="89" t="s">
        <v>351</v>
      </c>
      <c r="D330" s="89" t="s">
        <v>352</v>
      </c>
      <c r="E330" s="432" t="s">
        <v>353</v>
      </c>
      <c r="F330" s="433" t="s">
        <v>420</v>
      </c>
      <c r="I330" s="73"/>
      <c r="J330" s="73"/>
      <c r="K330" s="73"/>
      <c r="L330" s="73"/>
    </row>
    <row r="331" spans="2:19" ht="14.4" x14ac:dyDescent="0.3">
      <c r="B331" s="90" t="s">
        <v>271</v>
      </c>
      <c r="C331" s="91">
        <f>SUM('Industrielle processer 2018'!J11:J19)</f>
        <v>310.51015558864384</v>
      </c>
      <c r="D331" s="91">
        <f>SUM('Industrielle processer 2018'!K11:K19)</f>
        <v>0</v>
      </c>
      <c r="E331" s="91">
        <f>SUM('Industrielle processer 2018'!L11:L19)</f>
        <v>0</v>
      </c>
      <c r="F331" s="91">
        <f>SUM('Industrielle processer 2018'!M11:M19)</f>
        <v>0</v>
      </c>
      <c r="I331" s="73"/>
      <c r="J331" s="73"/>
      <c r="K331" s="73"/>
      <c r="L331" s="73"/>
    </row>
    <row r="332" spans="2:19" ht="14.4" x14ac:dyDescent="0.3">
      <c r="B332" s="92" t="s">
        <v>240</v>
      </c>
      <c r="C332" s="174">
        <f>SUM('Industrielle processer 2018'!J20:J23)</f>
        <v>20.000165345766415</v>
      </c>
      <c r="D332" s="174">
        <f>SUM('Industrielle processer 2018'!K20:K23)</f>
        <v>0</v>
      </c>
      <c r="E332" s="174">
        <f>SUM('Industrielle processer 2018'!L20:L23)</f>
        <v>0</v>
      </c>
      <c r="F332" s="174">
        <f>SUM('Industrielle processer 2018'!M20:M23)</f>
        <v>0</v>
      </c>
      <c r="I332" s="73"/>
      <c r="J332" s="73"/>
      <c r="K332" s="73"/>
      <c r="L332" s="73"/>
    </row>
    <row r="333" spans="2:19" ht="14.4" x14ac:dyDescent="0.3">
      <c r="B333" s="92" t="s">
        <v>241</v>
      </c>
      <c r="C333" s="174">
        <f>SUM('Industrielle processer 2018'!J24)</f>
        <v>2.0236254987284741</v>
      </c>
      <c r="D333" s="174">
        <f>SUM('Industrielle processer 2018'!K24)</f>
        <v>0</v>
      </c>
      <c r="E333" s="174">
        <f>SUM('Industrielle processer 2018'!L24)</f>
        <v>0</v>
      </c>
      <c r="F333" s="174">
        <f>SUM('Industrielle processer 2018'!M24)</f>
        <v>0</v>
      </c>
      <c r="I333" s="73"/>
      <c r="J333" s="73"/>
      <c r="K333" s="73"/>
      <c r="L333" s="73"/>
    </row>
    <row r="334" spans="2:19" ht="14.4" x14ac:dyDescent="0.3">
      <c r="B334" s="92" t="s">
        <v>242</v>
      </c>
      <c r="C334" s="174">
        <f>SUM('Industrielle processer 2018'!J25:J30)</f>
        <v>2677.1053632475973</v>
      </c>
      <c r="D334" s="174">
        <f>SUM('Industrielle processer 2018'!K25:K30)</f>
        <v>0.34449471985173996</v>
      </c>
      <c r="E334" s="174">
        <f>SUM('Industrielle processer 2018'!L25:L30)</f>
        <v>8.2078250228426897E-3</v>
      </c>
      <c r="F334" s="174">
        <f>SUM('Industrielle processer 2018'!M25:M30)</f>
        <v>0</v>
      </c>
      <c r="I334" s="73"/>
      <c r="J334" s="73"/>
      <c r="K334" s="73"/>
      <c r="L334" s="73"/>
    </row>
    <row r="335" spans="2:19" ht="14.4" x14ac:dyDescent="0.3">
      <c r="B335" s="92" t="s">
        <v>243</v>
      </c>
      <c r="C335" s="174">
        <f>SUM('Industrielle processer 2018'!J31:J32)</f>
        <v>0</v>
      </c>
      <c r="D335" s="174">
        <f>SUM('Industrielle processer 2018'!K31:K32)</f>
        <v>0</v>
      </c>
      <c r="E335" s="174">
        <f>SUM('Industrielle processer 2018'!L31:L32)</f>
        <v>0</v>
      </c>
      <c r="F335" s="174">
        <f>SUM('Industrielle processer 2018'!M31:M32)</f>
        <v>0</v>
      </c>
      <c r="I335" s="73"/>
      <c r="J335" s="73"/>
      <c r="K335" s="73"/>
      <c r="L335" s="73"/>
    </row>
    <row r="336" spans="2:19" ht="14.4" x14ac:dyDescent="0.3">
      <c r="B336" s="92" t="s">
        <v>244</v>
      </c>
      <c r="C336" s="174">
        <f>SUM('Industrielle processer 2018'!J33:J35)</f>
        <v>0</v>
      </c>
      <c r="D336" s="174">
        <f>SUM('Industrielle processer 2018'!K33:K35)</f>
        <v>0</v>
      </c>
      <c r="E336" s="174">
        <f>SUM('Industrielle processer 2018'!L33:L35)</f>
        <v>0</v>
      </c>
      <c r="F336" s="174">
        <f>SUM('Industrielle processer 2018'!M33:M35)</f>
        <v>9864.3311290101738</v>
      </c>
    </row>
    <row r="337" spans="2:6" ht="15" thickBot="1" x14ac:dyDescent="0.35">
      <c r="B337" s="437" t="s">
        <v>245</v>
      </c>
      <c r="C337" s="438">
        <f>SUM('Industrielle processer 2018'!J36:J41)</f>
        <v>4.2023956190261318</v>
      </c>
      <c r="D337" s="438">
        <f>SUM('Industrielle processer 2018'!K36:K41)</f>
        <v>1.2174596434215208</v>
      </c>
      <c r="E337" s="438">
        <f>SUM('Industrielle processer 2018'!L36:L41)</f>
        <v>1.1836484026823906</v>
      </c>
      <c r="F337" s="438">
        <f>SUM('Industrielle processer 2018'!M36:M41)</f>
        <v>0</v>
      </c>
    </row>
    <row r="338" spans="2:6" ht="15" thickBot="1" x14ac:dyDescent="0.35">
      <c r="B338" s="436" t="s">
        <v>272</v>
      </c>
      <c r="C338" s="435">
        <f>SUM(C331:C337)</f>
        <v>3013.841705299762</v>
      </c>
      <c r="D338" s="435">
        <f>SUM(D331:D337)</f>
        <v>1.5619543632732609</v>
      </c>
      <c r="E338" s="434">
        <f>SUM(E331:E337)</f>
        <v>1.1918562277052334</v>
      </c>
      <c r="F338" s="156">
        <f>SUM(F331:F337)</f>
        <v>9864.3311290101738</v>
      </c>
    </row>
    <row r="362" spans="1:19" ht="14.4" x14ac:dyDescent="0.3">
      <c r="A362"/>
      <c r="B362" s="73"/>
      <c r="C362" s="73"/>
      <c r="D362" s="73"/>
      <c r="E362" s="73"/>
      <c r="F362" s="96"/>
      <c r="G362"/>
      <c r="H362"/>
      <c r="I362"/>
      <c r="J362"/>
      <c r="K362"/>
      <c r="L362"/>
      <c r="M362"/>
      <c r="N362"/>
      <c r="O362"/>
      <c r="P362"/>
      <c r="Q362"/>
      <c r="R362"/>
      <c r="S362"/>
    </row>
    <row r="363" spans="1:19" ht="22.8" x14ac:dyDescent="0.4">
      <c r="A363" s="64"/>
      <c r="B363" s="65" t="s">
        <v>286</v>
      </c>
      <c r="C363" s="64"/>
      <c r="D363" s="64"/>
      <c r="E363" s="64"/>
      <c r="F363" s="64"/>
      <c r="G363" s="64"/>
      <c r="H363" s="64"/>
      <c r="I363" s="64"/>
      <c r="J363" s="64"/>
      <c r="K363" s="64"/>
      <c r="L363" s="64"/>
      <c r="M363" s="64"/>
      <c r="N363" s="64"/>
      <c r="O363" s="64"/>
      <c r="P363" s="64"/>
      <c r="Q363" s="64"/>
      <c r="R363" s="64"/>
      <c r="S363" s="64"/>
    </row>
    <row r="364" spans="1:19" ht="14.4" x14ac:dyDescent="0.3">
      <c r="A364"/>
      <c r="B364" s="96"/>
      <c r="C364" s="96"/>
      <c r="D364" s="96"/>
      <c r="E364" s="96"/>
      <c r="F364" s="96"/>
      <c r="G364"/>
      <c r="H364"/>
      <c r="I364"/>
      <c r="J364"/>
      <c r="K364"/>
      <c r="L364"/>
      <c r="M364"/>
      <c r="N364"/>
      <c r="O364"/>
      <c r="P364"/>
      <c r="Q364"/>
      <c r="R364"/>
      <c r="S364"/>
    </row>
    <row r="365" spans="1:19" ht="15" thickBot="1" x14ac:dyDescent="0.35">
      <c r="A365"/>
      <c r="B365" s="73"/>
      <c r="C365" s="73"/>
      <c r="D365" s="73"/>
      <c r="E365" s="73"/>
      <c r="F365" s="96"/>
      <c r="G365" s="177"/>
      <c r="H365"/>
      <c r="I365"/>
      <c r="J365"/>
      <c r="K365"/>
      <c r="L365"/>
      <c r="M365"/>
      <c r="N365"/>
      <c r="O365"/>
      <c r="P365"/>
      <c r="Q365"/>
      <c r="R365"/>
      <c r="S365"/>
    </row>
    <row r="366" spans="1:19" ht="54" customHeight="1" thickBot="1" x14ac:dyDescent="0.4">
      <c r="A366"/>
      <c r="B366" s="165" t="s">
        <v>462</v>
      </c>
      <c r="C366" s="166">
        <v>2018</v>
      </c>
      <c r="D366" s="73"/>
      <c r="E366" s="73"/>
      <c r="F366" s="172"/>
      <c r="G366" s="178" t="s">
        <v>310</v>
      </c>
      <c r="H366" s="178" t="s">
        <v>311</v>
      </c>
      <c r="I366" s="178" t="s">
        <v>312</v>
      </c>
      <c r="J366" s="178" t="s">
        <v>355</v>
      </c>
      <c r="K366" s="178" t="s">
        <v>445</v>
      </c>
      <c r="L366"/>
      <c r="M366"/>
      <c r="N366"/>
      <c r="O366"/>
      <c r="P366"/>
      <c r="Q366"/>
      <c r="R366"/>
      <c r="S366"/>
    </row>
    <row r="367" spans="1:19" ht="14.4" x14ac:dyDescent="0.3">
      <c r="A367"/>
      <c r="B367" s="168" t="s">
        <v>354</v>
      </c>
      <c r="C367" s="83">
        <f>SUBTOTAL(9,'Affald og spildevand, 2018'!K12:K18)</f>
        <v>17087.459606870805</v>
      </c>
      <c r="D367" s="73"/>
      <c r="E367" s="73"/>
      <c r="F367" s="173" t="s">
        <v>354</v>
      </c>
      <c r="G367" s="174">
        <f>$C$368</f>
        <v>100.7595191185456</v>
      </c>
      <c r="H367" s="174">
        <f>$C$369</f>
        <v>7460.0591283536096</v>
      </c>
      <c r="I367" s="174">
        <f>$C$370</f>
        <v>9526.6409593986482</v>
      </c>
      <c r="J367" s="175"/>
      <c r="K367" s="175"/>
      <c r="L367"/>
      <c r="M367"/>
      <c r="N367"/>
      <c r="O367"/>
      <c r="P367"/>
      <c r="Q367"/>
      <c r="R367"/>
      <c r="S367"/>
    </row>
    <row r="368" spans="1:19" ht="14.4" x14ac:dyDescent="0.3">
      <c r="A368"/>
      <c r="B368" s="171" t="s">
        <v>310</v>
      </c>
      <c r="C368" s="167">
        <f>SUBTOTAL(9,'Affald og spildevand, 2018'!K17:K18)</f>
        <v>100.7595191185456</v>
      </c>
      <c r="D368" s="73"/>
      <c r="E368" s="73"/>
      <c r="F368" s="176" t="s">
        <v>355</v>
      </c>
      <c r="G368" s="93"/>
      <c r="H368" s="93"/>
      <c r="I368" s="93"/>
      <c r="J368" s="174">
        <f>$C$371</f>
        <v>2041.4829758410524</v>
      </c>
      <c r="K368" s="174"/>
      <c r="L368"/>
      <c r="M368"/>
      <c r="N368"/>
      <c r="O368"/>
      <c r="P368"/>
      <c r="Q368"/>
      <c r="R368"/>
      <c r="S368"/>
    </row>
    <row r="369" spans="1:19" ht="14.4" x14ac:dyDescent="0.3">
      <c r="A369"/>
      <c r="B369" s="171" t="s">
        <v>311</v>
      </c>
      <c r="C369" s="167">
        <f>SUBTOTAL(9,'Affald og spildevand, 2018'!K15:K16)</f>
        <v>7460.0591283536096</v>
      </c>
      <c r="D369" s="73"/>
      <c r="E369" s="73"/>
      <c r="F369" s="176" t="s">
        <v>330</v>
      </c>
      <c r="G369" s="93"/>
      <c r="H369" s="93"/>
      <c r="I369" s="93"/>
      <c r="J369" s="93"/>
      <c r="K369" s="174">
        <f>'Affald og spildevand, 2018'!$K$24+'Affald og spildevand, 2018'!$K$25</f>
        <v>338.24057033955302</v>
      </c>
      <c r="L369"/>
      <c r="M369"/>
      <c r="N369"/>
      <c r="O369"/>
      <c r="P369"/>
      <c r="Q369"/>
      <c r="R369"/>
      <c r="S369"/>
    </row>
    <row r="370" spans="1:19" ht="14.4" x14ac:dyDescent="0.3">
      <c r="A370"/>
      <c r="B370" s="171" t="s">
        <v>312</v>
      </c>
      <c r="C370" s="167">
        <f>SUBTOTAL(9,'Affald og spildevand, 2018'!K12:K14)</f>
        <v>9526.6409593986482</v>
      </c>
      <c r="D370" s="73"/>
      <c r="E370" s="73"/>
      <c r="F370" s="96"/>
      <c r="G370"/>
      <c r="H370"/>
      <c r="I370"/>
      <c r="J370"/>
      <c r="K370"/>
      <c r="L370"/>
      <c r="M370"/>
      <c r="N370"/>
      <c r="O370"/>
      <c r="P370"/>
      <c r="Q370"/>
      <c r="R370"/>
      <c r="S370"/>
    </row>
    <row r="371" spans="1:19" ht="14.4" x14ac:dyDescent="0.3">
      <c r="A371"/>
      <c r="B371" s="169" t="s">
        <v>355</v>
      </c>
      <c r="C371" s="431">
        <f>SUBTOTAL(9,'Affald og spildevand, 2018'!K20:K22)</f>
        <v>2041.4829758410524</v>
      </c>
      <c r="D371" s="73"/>
      <c r="E371" s="73"/>
      <c r="F371" s="96"/>
      <c r="G371"/>
      <c r="H371"/>
      <c r="I371"/>
      <c r="J371"/>
      <c r="K371"/>
      <c r="L371"/>
      <c r="M371"/>
      <c r="N371"/>
      <c r="O371"/>
      <c r="P371"/>
      <c r="Q371"/>
      <c r="R371"/>
      <c r="S371"/>
    </row>
    <row r="372" spans="1:19" ht="15" thickBot="1" x14ac:dyDescent="0.35">
      <c r="A372"/>
      <c r="B372" s="170" t="s">
        <v>330</v>
      </c>
      <c r="C372" s="466">
        <f>SUBTOTAL(9,'Affald og spildevand, 2018'!K24:K25)</f>
        <v>338.24057033955302</v>
      </c>
      <c r="D372" s="73"/>
      <c r="E372" s="73"/>
      <c r="F372" s="96"/>
      <c r="G372"/>
      <c r="H372"/>
      <c r="I372"/>
      <c r="J372"/>
      <c r="K372"/>
      <c r="L372"/>
      <c r="M372"/>
      <c r="N372"/>
      <c r="O372"/>
      <c r="P372"/>
      <c r="Q372"/>
      <c r="R372"/>
      <c r="S372"/>
    </row>
    <row r="373" spans="1:19" ht="15" thickBot="1" x14ac:dyDescent="0.35">
      <c r="A373"/>
      <c r="B373" s="179" t="s">
        <v>61</v>
      </c>
      <c r="C373" s="180">
        <f>C367+C371+C372</f>
        <v>19467.18315305141</v>
      </c>
      <c r="D373" s="73"/>
      <c r="E373" s="73"/>
      <c r="F373" s="96"/>
      <c r="G373"/>
      <c r="H373"/>
      <c r="I373"/>
      <c r="J373"/>
      <c r="K373"/>
      <c r="L373"/>
      <c r="M373"/>
      <c r="N373"/>
      <c r="O373"/>
      <c r="P373"/>
      <c r="Q373"/>
      <c r="R373"/>
      <c r="S373"/>
    </row>
    <row r="374" spans="1:19" ht="14.4" x14ac:dyDescent="0.3">
      <c r="A374"/>
      <c r="B374" s="73"/>
      <c r="C374" s="73"/>
      <c r="D374" s="73"/>
      <c r="E374" s="73"/>
      <c r="F374" s="96"/>
      <c r="G374"/>
      <c r="H374"/>
      <c r="I374"/>
      <c r="J374"/>
      <c r="K374"/>
      <c r="L374"/>
      <c r="M374"/>
      <c r="N374"/>
      <c r="O374"/>
      <c r="P374"/>
      <c r="Q374"/>
      <c r="R374"/>
      <c r="S374"/>
    </row>
    <row r="375" spans="1:19" ht="14.4" x14ac:dyDescent="0.3">
      <c r="A375"/>
      <c r="B375" s="73"/>
      <c r="C375" s="73"/>
      <c r="D375" s="73"/>
      <c r="E375" s="73"/>
      <c r="F375" s="73"/>
      <c r="G375"/>
      <c r="H375"/>
      <c r="I375"/>
      <c r="J375"/>
      <c r="K375"/>
      <c r="L375"/>
      <c r="M375"/>
      <c r="N375"/>
      <c r="O375"/>
      <c r="P375"/>
      <c r="Q375"/>
      <c r="R375"/>
      <c r="S375"/>
    </row>
    <row r="376" spans="1:19" ht="14.4" x14ac:dyDescent="0.3">
      <c r="A376"/>
      <c r="B376" s="73"/>
      <c r="C376" s="73"/>
      <c r="D376" s="73"/>
      <c r="E376" s="73"/>
      <c r="F376" s="73"/>
      <c r="G376"/>
      <c r="H376"/>
      <c r="I376"/>
      <c r="J376"/>
      <c r="K376"/>
      <c r="L376"/>
      <c r="M376"/>
      <c r="N376"/>
      <c r="O376"/>
      <c r="P376"/>
      <c r="Q376"/>
      <c r="R376"/>
      <c r="S376"/>
    </row>
    <row r="377" spans="1:19" ht="14.4" x14ac:dyDescent="0.3">
      <c r="A377"/>
      <c r="B377" s="73"/>
      <c r="C377" s="73"/>
      <c r="D377" s="73"/>
      <c r="E377" s="73"/>
      <c r="F377" s="73"/>
      <c r="G377"/>
      <c r="H377"/>
      <c r="I377"/>
      <c r="J377"/>
      <c r="K377"/>
      <c r="L377"/>
      <c r="M377"/>
      <c r="N377"/>
      <c r="O377"/>
      <c r="P377"/>
      <c r="Q377"/>
      <c r="R377"/>
      <c r="S377"/>
    </row>
    <row r="378" spans="1:19" ht="14.4" x14ac:dyDescent="0.3">
      <c r="A378"/>
      <c r="B378" s="73"/>
      <c r="C378" s="73"/>
      <c r="D378" s="73"/>
      <c r="E378" s="73"/>
      <c r="F378" s="73"/>
      <c r="G378"/>
      <c r="H378"/>
      <c r="I378"/>
      <c r="J378"/>
      <c r="K378"/>
      <c r="L378"/>
      <c r="M378"/>
      <c r="N378"/>
      <c r="O378"/>
      <c r="P378"/>
      <c r="Q378"/>
      <c r="R378"/>
      <c r="S378"/>
    </row>
    <row r="379" spans="1:19" ht="14.4" x14ac:dyDescent="0.3">
      <c r="A379"/>
      <c r="B379" s="73"/>
      <c r="C379" s="73"/>
      <c r="D379" s="73"/>
      <c r="E379" s="73"/>
      <c r="F379" s="73"/>
      <c r="G379"/>
      <c r="H379"/>
      <c r="I379"/>
      <c r="J379"/>
      <c r="K379"/>
      <c r="L379"/>
      <c r="M379"/>
      <c r="N379"/>
      <c r="O379"/>
      <c r="P379"/>
      <c r="Q379"/>
      <c r="R379"/>
      <c r="S379"/>
    </row>
    <row r="380" spans="1:19" ht="14.4" x14ac:dyDescent="0.3">
      <c r="A380"/>
      <c r="B380" s="73"/>
      <c r="C380" s="73"/>
      <c r="D380" s="73"/>
      <c r="E380" s="73"/>
      <c r="F380" s="73"/>
      <c r="G380"/>
      <c r="H380"/>
      <c r="I380"/>
      <c r="J380"/>
      <c r="K380"/>
      <c r="L380"/>
      <c r="M380"/>
      <c r="N380"/>
      <c r="O380"/>
      <c r="P380"/>
      <c r="Q380"/>
      <c r="R380"/>
      <c r="S380"/>
    </row>
    <row r="381" spans="1:19" ht="14.4" x14ac:dyDescent="0.3">
      <c r="A381"/>
      <c r="B381" s="73"/>
      <c r="C381" s="73"/>
      <c r="D381" s="73"/>
      <c r="E381" s="73"/>
      <c r="F381" s="73"/>
      <c r="G381"/>
      <c r="H381"/>
      <c r="I381"/>
      <c r="J381"/>
      <c r="K381"/>
      <c r="L381"/>
      <c r="M381"/>
      <c r="N381"/>
      <c r="O381"/>
      <c r="P381"/>
      <c r="Q381"/>
      <c r="R381"/>
      <c r="S381"/>
    </row>
    <row r="382" spans="1:19" ht="14.4" x14ac:dyDescent="0.3">
      <c r="A382"/>
      <c r="B382" s="73"/>
      <c r="C382" s="73"/>
      <c r="D382" s="73"/>
      <c r="E382" s="73"/>
      <c r="F382" s="73"/>
      <c r="G382"/>
      <c r="H382"/>
      <c r="I382"/>
      <c r="J382"/>
      <c r="K382"/>
      <c r="L382"/>
      <c r="M382"/>
      <c r="N382"/>
      <c r="O382"/>
      <c r="P382"/>
      <c r="Q382"/>
      <c r="R382"/>
      <c r="S382"/>
    </row>
    <row r="383" spans="1:19" ht="14.4" x14ac:dyDescent="0.3">
      <c r="A383"/>
      <c r="B383" s="73"/>
      <c r="C383" s="73"/>
      <c r="D383" s="73"/>
      <c r="E383" s="73"/>
      <c r="F383" s="73"/>
      <c r="G383"/>
      <c r="H383"/>
      <c r="I383"/>
      <c r="J383"/>
      <c r="K383"/>
      <c r="L383"/>
      <c r="M383"/>
      <c r="N383"/>
      <c r="O383"/>
      <c r="P383"/>
      <c r="Q383"/>
      <c r="R383"/>
      <c r="S383"/>
    </row>
    <row r="384" spans="1:19" ht="14.4" x14ac:dyDescent="0.3">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Samlet klima- og energiregnskab</dc:title>
  <dc:creator/>
  <cp:lastModifiedBy/>
  <dcterms:created xsi:type="dcterms:W3CDTF">2015-06-05T18:19:34Z</dcterms:created>
  <dcterms:modified xsi:type="dcterms:W3CDTF">2021-05-28T00:48:36Z</dcterms:modified>
</cp:coreProperties>
</file>